
<file path=[Content_Types].xml><?xml version="1.0" encoding="utf-8"?>
<Types xmlns="http://schemas.openxmlformats.org/package/2006/content-types">
  <Default Extension="bin" ContentType="application/vnd.openxmlformats-officedocument.spreadsheetml.printerSettings"/>
  <Override PartName="/xl/customProperty9.bin" ContentType="application/vnd.openxmlformats-officedocument.spreadsheetml.customProperty"/>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ustomProperty7.bin" ContentType="application/vnd.openxmlformats-officedocument.spreadsheetml.customProperty"/>
  <Override PartName="/xl/customProperty8.bin" ContentType="application/vnd.openxmlformats-officedocument.spreadsheetml.customProperty"/>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ustomProperty5.bin" ContentType="application/vnd.openxmlformats-officedocument.spreadsheetml.customProperty"/>
  <Override PartName="/xl/customProperty6.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ustomProperty3.bin" ContentType="application/vnd.openxmlformats-officedocument.spreadsheetml.customProperty"/>
  <Override PartName="/xl/customProperty4.bin" ContentType="application/vnd.openxmlformats-officedocument.spreadsheetml.customPropert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ustomProperty1.bin" ContentType="application/vnd.openxmlformats-officedocument.spreadsheetml.customProperty"/>
  <Override PartName="/xl/customProperty2.bin" ContentType="application/vnd.openxmlformats-officedocument.spreadsheetml.customProperty"/>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2" yWindow="-12" windowWidth="11976" windowHeight="3072" tabRatio="807" activeTab="4"/>
  </bookViews>
  <sheets>
    <sheet name="flowmod" sheetId="1" r:id="rId1"/>
    <sheet name="habitat" sheetId="2" r:id="rId2"/>
    <sheet name="wq" sheetId="4" r:id="rId3"/>
    <sheet name="Con &amp; Seas" sheetId="10" r:id="rId4"/>
    <sheet name="EC" sheetId="3" r:id="rId5"/>
    <sheet name="hydraul" sheetId="12" r:id="rId6"/>
    <sheet name="Data" sheetId="9" r:id="rId7"/>
    <sheet name="Species Data" sheetId="5" r:id="rId8"/>
    <sheet name="DATASORT" sheetId="13" r:id="rId9"/>
    <sheet name="DV-IDENTITY-0" sheetId="14" state="veryHidden" r:id="rId10"/>
  </sheets>
  <definedNames>
    <definedName name="_xlnm.Print_Area" localSheetId="6">Data!$A$6:$P$108</definedName>
  </definedNames>
  <calcPr calcId="125725" iterate="1"/>
</workbook>
</file>

<file path=xl/calcChain.xml><?xml version="1.0" encoding="utf-8"?>
<calcChain xmlns="http://schemas.openxmlformats.org/spreadsheetml/2006/main">
  <c r="E10" i="3"/>
  <c r="E7" l="1"/>
  <c r="A40" i="14"/>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N40"/>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8" i="10" l="1"/>
  <c r="I9"/>
  <c r="I10"/>
  <c r="I11"/>
  <c r="I12" s="1"/>
  <c r="G13" s="1"/>
  <c r="C7" i="3" s="1"/>
  <c r="H8" i="10"/>
  <c r="H9"/>
  <c r="H10"/>
  <c r="H12" s="1"/>
  <c r="H11"/>
  <c r="G8" i="3"/>
  <c r="D4" s="1"/>
  <c r="F2" i="4"/>
  <c r="F3"/>
  <c r="F4"/>
  <c r="F5"/>
  <c r="F6"/>
  <c r="F7"/>
  <c r="F8"/>
  <c r="F9"/>
  <c r="F10"/>
  <c r="F11"/>
  <c r="E2"/>
  <c r="E3"/>
  <c r="E4"/>
  <c r="E5"/>
  <c r="E6"/>
  <c r="E7"/>
  <c r="E8"/>
  <c r="E9"/>
  <c r="E10"/>
  <c r="E11"/>
  <c r="F2" i="2"/>
  <c r="F3"/>
  <c r="F4"/>
  <c r="F5"/>
  <c r="F6"/>
  <c r="F7"/>
  <c r="F8"/>
  <c r="F9"/>
  <c r="F10"/>
  <c r="F11"/>
  <c r="E2"/>
  <c r="E3"/>
  <c r="E4"/>
  <c r="E5"/>
  <c r="E6"/>
  <c r="E7"/>
  <c r="E8"/>
  <c r="E9"/>
  <c r="E10"/>
  <c r="E11"/>
  <c r="F3" i="1"/>
  <c r="F4"/>
  <c r="F5"/>
  <c r="F6"/>
  <c r="F7"/>
  <c r="F8"/>
  <c r="F9"/>
  <c r="F10"/>
  <c r="E3"/>
  <c r="E4"/>
  <c r="E5"/>
  <c r="E6"/>
  <c r="E7"/>
  <c r="E8"/>
  <c r="E9"/>
  <c r="E10"/>
  <c r="E12" i="4" l="1"/>
  <c r="E11" i="1"/>
  <c r="D5" i="3"/>
  <c r="D7"/>
  <c r="F12" i="4"/>
  <c r="D13" s="1"/>
  <c r="C6" i="3" s="1"/>
  <c r="F12" i="2"/>
  <c r="E12"/>
  <c r="F11" i="1"/>
  <c r="D6" i="3"/>
  <c r="D12" i="1" l="1"/>
  <c r="C4" i="3" s="1"/>
  <c r="E4" s="1"/>
  <c r="E6"/>
  <c r="D13" i="2"/>
  <c r="C5" i="3" s="1"/>
  <c r="E5" s="1"/>
  <c r="E9" l="1"/>
</calcChain>
</file>

<file path=xl/comments1.xml><?xml version="1.0" encoding="utf-8"?>
<comments xmlns="http://schemas.openxmlformats.org/spreadsheetml/2006/main">
  <authors>
    <author>Kleynhans</author>
  </authors>
  <commentList>
    <comment ref="B2" authorId="0">
      <text>
        <r>
          <rPr>
            <b/>
            <sz val="8"/>
            <color indexed="81"/>
            <rFont val="Tahoma"/>
            <family val="2"/>
          </rPr>
          <t xml:space="preserve">GENERIC GUIDELINES FOR RATING (0--&gt;5)
0=None, or no impact
1= Small; limited with small impact on movement of some species
2=Moderate; notable and with some impact on movement on several species
3=Large; clear impact on movement of many species
4=Serious; clear  and serious impact on movement of most species
5=Extreme; clear and critical impact on the movement of all species
</t>
        </r>
        <r>
          <rPr>
            <sz val="8"/>
            <color indexed="81"/>
            <rFont val="Tahoma"/>
            <family val="2"/>
          </rPr>
          <t xml:space="preserve">
</t>
        </r>
      </text>
    </comment>
  </commentList>
</comments>
</file>

<file path=xl/comments2.xml><?xml version="1.0" encoding="utf-8"?>
<comments xmlns="http://schemas.openxmlformats.org/spreadsheetml/2006/main">
  <authors>
    <author>ThirionC</author>
  </authors>
  <commentList>
    <comment ref="H6" authorId="0">
      <text>
        <r>
          <rPr>
            <b/>
            <sz val="8"/>
            <color indexed="81"/>
            <rFont val="Tahoma"/>
            <family val="2"/>
          </rPr>
          <t xml:space="preserve">Preference:
0 No preference (does not occur)
1 Very low preference Coincidental
2 Low preference
3 Moderate preference
4 High preference
5 Very high preference
</t>
        </r>
      </text>
    </comment>
  </commentList>
</comments>
</file>

<file path=xl/comments3.xml><?xml version="1.0" encoding="utf-8"?>
<comments xmlns="http://schemas.openxmlformats.org/spreadsheetml/2006/main">
  <authors>
    <author>ThirionC</author>
  </authors>
  <commentList>
    <comment ref="F1" authorId="0">
      <text>
        <r>
          <rPr>
            <b/>
            <sz val="8"/>
            <color indexed="81"/>
            <rFont val="Tahoma"/>
            <family val="2"/>
          </rPr>
          <t xml:space="preserve">Preference:
0 No preference (does not occur)
1 Very low preference Coincidental
2 Low preference
3 Moderate preference
4 High preference
5 Very high preference
</t>
        </r>
      </text>
    </comment>
  </commentList>
</comments>
</file>

<file path=xl/sharedStrings.xml><?xml version="1.0" encoding="utf-8"?>
<sst xmlns="http://schemas.openxmlformats.org/spreadsheetml/2006/main" count="702" uniqueCount="297">
  <si>
    <t>Presence of taxa with a preference for moderately fast flowing water</t>
  </si>
  <si>
    <t>Presence of taxa with a preference for slow flowing water</t>
  </si>
  <si>
    <t>How does the total SASS score differ from expected?</t>
  </si>
  <si>
    <t>How does the total ASPT score differ from expected?</t>
  </si>
  <si>
    <t>Overall change to indicators of modified water quality</t>
  </si>
  <si>
    <t>Presence of taxa with a preference for very fast flowing water</t>
  </si>
  <si>
    <t xml:space="preserve">HABITAT </t>
  </si>
  <si>
    <t xml:space="preserve">WATER QUALITY </t>
  </si>
  <si>
    <t>FLOW MODIFICATION</t>
  </si>
  <si>
    <t>Oligochaeta</t>
  </si>
  <si>
    <t>SASS</t>
  </si>
  <si>
    <t>ASPT</t>
  </si>
  <si>
    <t>&gt;89=A; 80-89=B; 60-79=C; 40-59=D; 20-39=E; &lt;20=F</t>
  </si>
  <si>
    <t>% Weight</t>
  </si>
  <si>
    <t>Taxon</t>
  </si>
  <si>
    <t>Frequency</t>
  </si>
  <si>
    <t>&lt;0.1</t>
  </si>
  <si>
    <t>0.1-0.3</t>
  </si>
  <si>
    <t>0.3-0.6</t>
  </si>
  <si>
    <t>&gt;0.6</t>
  </si>
  <si>
    <t>BEDROCK</t>
  </si>
  <si>
    <t>COBBLES</t>
  </si>
  <si>
    <t>VEG</t>
  </si>
  <si>
    <t>GSM</t>
  </si>
  <si>
    <t>WATER</t>
  </si>
  <si>
    <t>QUALITY</t>
  </si>
  <si>
    <t>Porifera</t>
  </si>
  <si>
    <t>LOW</t>
  </si>
  <si>
    <t>Coelenterata</t>
  </si>
  <si>
    <t>NONE</t>
  </si>
  <si>
    <t>Turbellaria</t>
  </si>
  <si>
    <t>Hirudinea</t>
  </si>
  <si>
    <t>Amphipoda</t>
  </si>
  <si>
    <t>HIGH</t>
  </si>
  <si>
    <t>Potamonautidae</t>
  </si>
  <si>
    <t>Atyidae</t>
  </si>
  <si>
    <t>MODERATE</t>
  </si>
  <si>
    <t>Paleomonidae</t>
  </si>
  <si>
    <t>Hydracarina</t>
  </si>
  <si>
    <t>Notonemouridae</t>
  </si>
  <si>
    <t>Perlidae</t>
  </si>
  <si>
    <t>Baetidae 1sp</t>
  </si>
  <si>
    <t>Baetidae 2spp</t>
  </si>
  <si>
    <t>Baetidae &gt;2spp</t>
  </si>
  <si>
    <t>Caenidae</t>
  </si>
  <si>
    <t>Ephemeridae</t>
  </si>
  <si>
    <t>Heptageniidae</t>
  </si>
  <si>
    <t>Leptophlebiidae</t>
  </si>
  <si>
    <t>Machadorythidae</t>
  </si>
  <si>
    <t>Oligoneuridae</t>
  </si>
  <si>
    <t>Polymitarcyidae</t>
  </si>
  <si>
    <t>Prosopistomatidae</t>
  </si>
  <si>
    <t>Telagonodidae</t>
  </si>
  <si>
    <t>Trichorythidae</t>
  </si>
  <si>
    <t>Calopterygidae</t>
  </si>
  <si>
    <t>Chlorocyphidae</t>
  </si>
  <si>
    <t>Chlorolestidae</t>
  </si>
  <si>
    <t>Coenagrionidae</t>
  </si>
  <si>
    <t>Lestidae</t>
  </si>
  <si>
    <t>Platycnemidae</t>
  </si>
  <si>
    <t>Protoneuridae</t>
  </si>
  <si>
    <t>Aeshnidae</t>
  </si>
  <si>
    <t>Corduliidae</t>
  </si>
  <si>
    <t>Gomphidae</t>
  </si>
  <si>
    <t>Libellulidae</t>
  </si>
  <si>
    <t>Pyralidae</t>
  </si>
  <si>
    <t>Belostomatidae</t>
  </si>
  <si>
    <t>Corixidae</t>
  </si>
  <si>
    <t>Gerridae</t>
  </si>
  <si>
    <t>Hydrometridae</t>
  </si>
  <si>
    <t>Naucoridae</t>
  </si>
  <si>
    <t>Notonectidae</t>
  </si>
  <si>
    <t>Pleidae</t>
  </si>
  <si>
    <t>Veliidae</t>
  </si>
  <si>
    <t>Corydalidae</t>
  </si>
  <si>
    <t>Sialidae</t>
  </si>
  <si>
    <t>Dipseudopsidae</t>
  </si>
  <si>
    <t>Ecnomidae</t>
  </si>
  <si>
    <t>Hydropsychidae 1sp</t>
  </si>
  <si>
    <t>Hydropsychidae 2spp</t>
  </si>
  <si>
    <t>Hydropsychidae &gt;2spp</t>
  </si>
  <si>
    <t>Philopotamidae</t>
  </si>
  <si>
    <t>Polycentropodidae</t>
  </si>
  <si>
    <t>Psychomyiidae</t>
  </si>
  <si>
    <t>Xiphocentronidae</t>
  </si>
  <si>
    <t>Barbarochthonidae</t>
  </si>
  <si>
    <t>Calamoceratidae</t>
  </si>
  <si>
    <t>Glossosomatidae</t>
  </si>
  <si>
    <t>Hydroptilidae</t>
  </si>
  <si>
    <t>Hydropsalpingidae</t>
  </si>
  <si>
    <t>Lepidostomatidae</t>
  </si>
  <si>
    <t>Leptoceridae</t>
  </si>
  <si>
    <t>Pisuliidae</t>
  </si>
  <si>
    <t>Sericostomatidae</t>
  </si>
  <si>
    <t>Dytiscidae</t>
  </si>
  <si>
    <t>Elmidae</t>
  </si>
  <si>
    <t>Dryopidae</t>
  </si>
  <si>
    <t>Gyrinidae</t>
  </si>
  <si>
    <t>Helodidae</t>
  </si>
  <si>
    <t>Hydraenidae</t>
  </si>
  <si>
    <t>Hydrophilidae</t>
  </si>
  <si>
    <t>Limnichidae</t>
  </si>
  <si>
    <t>Psephenidae</t>
  </si>
  <si>
    <t>Athericidae</t>
  </si>
  <si>
    <t>Blepharoceridae</t>
  </si>
  <si>
    <t>Ceratopogonidae</t>
  </si>
  <si>
    <t>Chironomidae</t>
  </si>
  <si>
    <t>Culicidae</t>
  </si>
  <si>
    <t>Dixidae</t>
  </si>
  <si>
    <t>Empididae</t>
  </si>
  <si>
    <t>Ephydridae</t>
  </si>
  <si>
    <t>Muscidae</t>
  </si>
  <si>
    <t>Psychodidae</t>
  </si>
  <si>
    <t>Simuliidae</t>
  </si>
  <si>
    <t>Syrphidae</t>
  </si>
  <si>
    <t>Tabanidae</t>
  </si>
  <si>
    <t>Tipulidae</t>
  </si>
  <si>
    <t>Ancylidae</t>
  </si>
  <si>
    <t>Bulinae</t>
  </si>
  <si>
    <t>Hydrobiidae</t>
  </si>
  <si>
    <t>Lymnaeidae</t>
  </si>
  <si>
    <t>Physidae</t>
  </si>
  <si>
    <t>Planorbinae</t>
  </si>
  <si>
    <t>Thiaridae</t>
  </si>
  <si>
    <t>Viviparidae</t>
  </si>
  <si>
    <t>Corbiculidae</t>
  </si>
  <si>
    <t>Sphaeridae</t>
  </si>
  <si>
    <t>Unionidae</t>
  </si>
  <si>
    <t>Nepidae</t>
  </si>
  <si>
    <t>Petrothrincidae</t>
  </si>
  <si>
    <t>Haliplidae</t>
  </si>
  <si>
    <t>Has the abundance and/or frequency of occurrence of any of the taxa with a preference for bedrock/boulders changed?</t>
  </si>
  <si>
    <t>Has the abundance and/or frequency of occurrence of any of the taxa with a preference for loose cobbles changed?</t>
  </si>
  <si>
    <t>Has the abundance and/or frequency of occurrence of any of the taxa with a preference for vegetation changed?</t>
  </si>
  <si>
    <t>Has the occurrence of invertebrates with a preference for loose cobbles changed relative to expected?</t>
  </si>
  <si>
    <t>Has the occurrence of invertebrates with a preference for vegetation changed relative to expected?</t>
  </si>
  <si>
    <t>Has the occurrence of invertebrates with a preference for sand, gravel or mud changed relative to expected?</t>
  </si>
  <si>
    <t>Has the occurrence of invertebrates with a preference for the water column or water surface changed relative to expected?</t>
  </si>
  <si>
    <t>Ref SASS</t>
  </si>
  <si>
    <t>No of taxa</t>
  </si>
  <si>
    <t>Reference SASS</t>
  </si>
  <si>
    <t>Reference ASPT</t>
  </si>
  <si>
    <t>RANKING OF METRICS</t>
  </si>
  <si>
    <t>Abundance and/or frequency of occurrence of taxa with a preference for very fast flowing water</t>
  </si>
  <si>
    <t>Abundance and/or frequency of occurrence of taxa with a preference for moderately fast flowing water</t>
  </si>
  <si>
    <t>Abundance and/or frequency of occurrence of taxa with a preference for slow flowing water</t>
  </si>
  <si>
    <r>
      <t>HABITAT MODIFICATION METRICS.</t>
    </r>
    <r>
      <rPr>
        <b/>
        <sz val="9"/>
        <rFont val="Arial"/>
        <family val="2"/>
      </rPr>
      <t xml:space="preserve">                                                         WITH REFERENCE TO INVERTEBRATE HABITAT PREFERENCES, WHAT ARE THE CHANGES TO THE FOLLOWING OBSERVED OR EXPECTED TO BE?</t>
    </r>
  </si>
  <si>
    <t>%WEIGHT</t>
  </si>
  <si>
    <t>Overall % change in flow dependanceof assemblage</t>
  </si>
  <si>
    <t>% WEIGHT</t>
  </si>
  <si>
    <r>
      <t>Which of these measures will best indicate the response of invertebrates (</t>
    </r>
    <r>
      <rPr>
        <b/>
        <i/>
        <sz val="8"/>
        <rFont val="Arial"/>
        <family val="2"/>
      </rPr>
      <t>in this system at this site</t>
    </r>
    <r>
      <rPr>
        <b/>
        <sz val="8"/>
        <rFont val="Arial"/>
        <family val="2"/>
      </rPr>
      <t>)</t>
    </r>
  </si>
  <si>
    <t>FM</t>
  </si>
  <si>
    <t>H</t>
  </si>
  <si>
    <t>WQ</t>
  </si>
  <si>
    <t>METRIC GROUP CALCULATED SCORE</t>
  </si>
  <si>
    <t>CALCULATED WEIGHT</t>
  </si>
  <si>
    <t>WEIGHTED SCORE OF GROUP</t>
  </si>
  <si>
    <t>RANK OF METRIC GROUP</t>
  </si>
  <si>
    <t>%WEIGHT FOR METRIC GROUP</t>
  </si>
  <si>
    <t>Overall % change in flow dependance of assemblage</t>
  </si>
  <si>
    <t>Has the occurrence of invertebrates with a preference for bedrock/boulders changed relative to expected?</t>
  </si>
  <si>
    <r>
      <t>FLOW MODIFICATION METRICS.</t>
    </r>
    <r>
      <rPr>
        <b/>
        <sz val="9"/>
        <rFont val="Arial"/>
        <family val="2"/>
      </rPr>
      <t xml:space="preserve">                                                         WITH REFERENCE TO VELOCITY PREFERENCES, WHAT ARE THE CHANGES TO THE FOLLOWING OBSERVED OR EXPECTED TO BE?</t>
    </r>
  </si>
  <si>
    <r>
      <t>WATER QUALITY METRICS.</t>
    </r>
    <r>
      <rPr>
        <b/>
        <sz val="9"/>
        <rFont val="Arial"/>
        <family val="2"/>
      </rPr>
      <t xml:space="preserve">                                                                   WITH REFERENCE TO WATER QUALITY REQUIREMENTS, WHAT ARE THE CHANGES TO THE FOLLOWING OBSERVED OR EXPECTED TO BE?</t>
    </r>
  </si>
  <si>
    <t>Considering the range from 5 to 0 of each of these metric groups, which one would most affect overall Invertebrate Response (PES) if it changed from 0 to 5? (irrespective of the rating). This metric group is ranked as 1, the next most responsive, ranked as 2, etc.</t>
  </si>
  <si>
    <t>INVERTEBRATE EC METRIC GROUP</t>
  </si>
  <si>
    <t>INVERTEBRATE EC</t>
  </si>
  <si>
    <t>INVERTEBRATE EC CATEGORY</t>
  </si>
  <si>
    <t>INVERTEBRATE EC: BASED ON WEIGHTS OF METRIC GROUPS</t>
  </si>
  <si>
    <t>Burnupia</t>
  </si>
  <si>
    <t>Acanthiops varius</t>
  </si>
  <si>
    <t>Afroptilum</t>
  </si>
  <si>
    <t>Afroptilum parvum</t>
  </si>
  <si>
    <t>Afroptilum sudafricanum</t>
  </si>
  <si>
    <t>Baetis harrisoni</t>
  </si>
  <si>
    <t>Centroptiloides bifasciata</t>
  </si>
  <si>
    <t>Cheleocloeon excisum</t>
  </si>
  <si>
    <t>Crasabwa flava</t>
  </si>
  <si>
    <t>Dabulamanzia</t>
  </si>
  <si>
    <t>Dabulamanzia indusii</t>
  </si>
  <si>
    <t>Dabulamanzia media</t>
  </si>
  <si>
    <t>Demoreptus</t>
  </si>
  <si>
    <t>Demoreptus monticola</t>
  </si>
  <si>
    <t>Demoreptus natalensis</t>
  </si>
  <si>
    <t>Procloeon africanum</t>
  </si>
  <si>
    <t>Pseudocloeon</t>
  </si>
  <si>
    <t>Pseudocloeon vinosum</t>
  </si>
  <si>
    <t>Pseudocloeon latum</t>
  </si>
  <si>
    <t>Pseudocloeon glaucum</t>
  </si>
  <si>
    <t>Pseudocloeon bellum</t>
  </si>
  <si>
    <t>Pseudopannota maculosa</t>
  </si>
  <si>
    <t>Caenis</t>
  </si>
  <si>
    <t>Bezzia</t>
  </si>
  <si>
    <t>Chironominae</t>
  </si>
  <si>
    <t>Tanytarsini</t>
  </si>
  <si>
    <t>Tanypodinae</t>
  </si>
  <si>
    <t>Pentaneura</t>
  </si>
  <si>
    <t>Orthocladinae</t>
  </si>
  <si>
    <t>Corynoneura</t>
  </si>
  <si>
    <t>Pseudogrion</t>
  </si>
  <si>
    <t>Micronecta</t>
  </si>
  <si>
    <t>Micronecta picannin</t>
  </si>
  <si>
    <t>Afronurus barnardi</t>
  </si>
  <si>
    <t>Afronurus peringueyi</t>
  </si>
  <si>
    <t>Afronurus scotti</t>
  </si>
  <si>
    <t>Cheumatopsyche</t>
  </si>
  <si>
    <t>Cheumatopsyche afra</t>
  </si>
  <si>
    <t>Cheumatopsyche thomasetti</t>
  </si>
  <si>
    <t>Hydropsyche longifurca</t>
  </si>
  <si>
    <t>Orthotrichia barnardi</t>
  </si>
  <si>
    <t>Trichosetodes</t>
  </si>
  <si>
    <t>Adenophlebia</t>
  </si>
  <si>
    <t>Adenophlebia auriculata</t>
  </si>
  <si>
    <t>Adenophlebia sylvatica</t>
  </si>
  <si>
    <t>Adenophleboides bicolour</t>
  </si>
  <si>
    <t>Choroterpes nigrescens</t>
  </si>
  <si>
    <t>Euthraulus</t>
  </si>
  <si>
    <t>Euthraulus elegans</t>
  </si>
  <si>
    <t>Machadorythus maculates</t>
  </si>
  <si>
    <t>Aphelocheirus</t>
  </si>
  <si>
    <t>Mesoveliidae</t>
  </si>
  <si>
    <t>Naididae</t>
  </si>
  <si>
    <t>Nais</t>
  </si>
  <si>
    <t>Tubificidae</t>
  </si>
  <si>
    <t>Elllasoneuria trimeniana</t>
  </si>
  <si>
    <t>Oligoneuriopsis lawrencei</t>
  </si>
  <si>
    <t>Neoperla spio</t>
  </si>
  <si>
    <t>Ephoron savignyi</t>
  </si>
  <si>
    <t>Prosopistoma crassi</t>
  </si>
  <si>
    <t>Simulium</t>
  </si>
  <si>
    <t>Simulium medusaeforme</t>
  </si>
  <si>
    <t>Simulium nigritarse</t>
  </si>
  <si>
    <t>Simulium vorax</t>
  </si>
  <si>
    <t>Simulium dentulosum</t>
  </si>
  <si>
    <t>Simulium damnosum</t>
  </si>
  <si>
    <t>Simulium chutteri</t>
  </si>
  <si>
    <t>RATING</t>
  </si>
  <si>
    <t>Presence of taxa with a preference for standing water</t>
  </si>
  <si>
    <t>Abundance and/or frequency of occurrence of taxa with a preference for standing water</t>
  </si>
  <si>
    <t>WHAT IS THE EXTENT OF THE FOLLOWING</t>
  </si>
  <si>
    <t>RATINGS</t>
  </si>
  <si>
    <t>Weirs and causeways</t>
  </si>
  <si>
    <t>Impoundments</t>
  </si>
  <si>
    <t>Changes in seasonality</t>
  </si>
  <si>
    <t>Based on observed and derived data, with reference to migration and seasonality, how did the following change?</t>
  </si>
  <si>
    <t>Impact on occurrence of taxa with seasonal distribution</t>
  </si>
  <si>
    <t>Impact on abundance and/or frequency of occurrence of taxa with seasonal distribution</t>
  </si>
  <si>
    <t>Impact on distribution of migratory taxa</t>
  </si>
  <si>
    <t xml:space="preserve">Impact on abundance and/or frequency of occurrence of migratory taxa </t>
  </si>
  <si>
    <t>Season</t>
  </si>
  <si>
    <t>CONNECTIVITY &amp; SEASONALITY</t>
  </si>
  <si>
    <t>CS</t>
  </si>
  <si>
    <r>
      <t>Velocity Preference Scores:
GENERIC GUIDELINES FOR SCORING (0-5)</t>
    </r>
    <r>
      <rPr>
        <sz val="9"/>
        <color indexed="8"/>
        <rFont val="Arial"/>
        <family val="2"/>
      </rPr>
      <t xml:space="preserve">
0=No change from reference 
1= Small change from reference
2=Moderate changefrom reference
3=Large change from reference
4=Serious change from reference
5=Extreme change from reference (completely dominant or absent)</t>
    </r>
  </si>
  <si>
    <r>
      <t>Ranking of metrics:</t>
    </r>
    <r>
      <rPr>
        <sz val="9"/>
        <rFont val="Arial"/>
        <family val="2"/>
      </rPr>
      <t xml:space="preserve">  Rank order in terms of which metric (if it changed from worst to best) would best indicate good integrity in terms of velocity categories. Do not rank metrics that are not relevant (leave them blank)</t>
    </r>
  </si>
  <si>
    <r>
      <t>% Weight:</t>
    </r>
    <r>
      <rPr>
        <sz val="9"/>
        <rFont val="Arial"/>
        <family val="2"/>
      </rPr>
      <t xml:space="preserve"> Give 100% to rank 1, then say how big the impact of each of the others is as a % of that (irrespective of the rating).</t>
    </r>
  </si>
  <si>
    <r>
      <t xml:space="preserve">Velocity Categories:
</t>
    </r>
    <r>
      <rPr>
        <sz val="9"/>
        <rFont val="Arial"/>
        <family val="2"/>
      </rPr>
      <t>Very Fast flowing water &gt;0.6 m/s;
Moderately fast flowing water 0.3-0.6 m/s;
Slow flowing water 0.1-0.3 m/s;
Standing water &lt;0.1 m/s</t>
    </r>
  </si>
  <si>
    <r>
      <t>Habitat Preference Scores:
GENERIC GUIDELINES FOR SCORING (0-5)</t>
    </r>
    <r>
      <rPr>
        <sz val="9"/>
        <color indexed="8"/>
        <rFont val="Arial"/>
        <family val="2"/>
      </rPr>
      <t xml:space="preserve">
0=No change from reference 
1= Small change from reference
2=Moderate changefrom reference
3=Large change from reference
4=Serious change from reference
5=Extreme change from reference (completely dominant or absent)</t>
    </r>
  </si>
  <si>
    <r>
      <t>Ranking of metrics:</t>
    </r>
    <r>
      <rPr>
        <sz val="9"/>
        <rFont val="Arial"/>
        <family val="2"/>
      </rPr>
      <t xml:space="preserve">  Rank order in terms of which metric (if it changed from worst to best) would best indicate good integrity in terms of habitat types. Do not rank metrics that are not relevant (leave them blank)</t>
    </r>
  </si>
  <si>
    <r>
      <t>Water Quality Preference Scores:
GENERIC GUIDELINES FOR SCORING (0-5)</t>
    </r>
    <r>
      <rPr>
        <sz val="9"/>
        <color indexed="8"/>
        <rFont val="Arial"/>
        <family val="2"/>
      </rPr>
      <t xml:space="preserve">
0=No change from reference 
1= Small change from reference
2=Moderate change from reference
3=Large change from reference
4=Serious change from reference
5=Extreme change from reference (completely dominant or absent)</t>
    </r>
  </si>
  <si>
    <r>
      <t xml:space="preserve">Water Qaulity delineations (Based on SASS5 weights)
</t>
    </r>
    <r>
      <rPr>
        <sz val="9"/>
        <rFont val="Arial"/>
        <family val="2"/>
      </rPr>
      <t>High Water Quality Preference: (SASS weights 12-15)
Moderate Water Quality Preference: (SASS weights 7-11)
Low Water Quality Preference: (SASS weights 4-6)
Very low Water Quality Preference: (SASS weights 1-3)</t>
    </r>
  </si>
  <si>
    <r>
      <t>Ranking of metrics:</t>
    </r>
    <r>
      <rPr>
        <sz val="9"/>
        <rFont val="Arial"/>
        <family val="2"/>
      </rPr>
      <t xml:space="preserve">  Rank order in terms of which metric (if it changed from worst to best) would best indicate good integrity in terms of water quality requirements. Do not rank metrics that are not relevant (leave them blank)</t>
    </r>
  </si>
  <si>
    <r>
      <t xml:space="preserve">Guidelines for ranking of metric groups.
</t>
    </r>
    <r>
      <rPr>
        <b/>
        <sz val="9"/>
        <rFont val="Arial"/>
        <family val="2"/>
      </rPr>
      <t>Which of the Metric Groups will best indicate the response of invertebrates at this site or reach/invertebrate habitat segment.</t>
    </r>
  </si>
  <si>
    <r>
      <t xml:space="preserve">Guidelines for weighting of metric groups.
</t>
    </r>
    <r>
      <rPr>
        <sz val="9"/>
        <rFont val="Arial"/>
        <family val="2"/>
      </rPr>
      <t>Give 100% to rank 1, then say how big the impact of each of the others is as a % of that (irrespective of the rating).</t>
    </r>
  </si>
  <si>
    <t>Has the abundance of any of the taxa with a preference for sand, gravel or mud changed relative to expected?</t>
  </si>
  <si>
    <t>Has the abundance and/or frequency of occurrence of any of the taxa with a preference for the water column/water surface changed?</t>
  </si>
  <si>
    <t>Has the number of taxa with a high requirement for unmodified physico-chemical conditions changed?</t>
  </si>
  <si>
    <t>Has the number of taxa with a moderate requirement for unmodified physico-chemical conditions changed?</t>
  </si>
  <si>
    <t>Has the abundance and/or frequency of occurrence of  the taxa with a high requirement for unmodified physico-chemical conditions changed?</t>
  </si>
  <si>
    <t>Hasthe abundance and/or fequency of occurrence of  the taxa with a moderate requirement for modified physico-chemical conditions changed?</t>
  </si>
  <si>
    <t>Has the number of taxa with a low requirement for unmodified physico-chemical conditions changed?</t>
  </si>
  <si>
    <t>Has the abundance and/or frequency of occurrence of the taxa with a low requirement for unmodified physico-chemical conditions changed?</t>
  </si>
  <si>
    <t>Has the number of taxa with a very low requirement for unmodified physico-chemical conditions changed?</t>
  </si>
  <si>
    <t>Has the abundance and/or frequency of occurrence of the taxa with a very low requirement for unmodified physico-chemical conditions changed?</t>
  </si>
  <si>
    <t>VSFS</t>
  </si>
  <si>
    <t>SFS</t>
  </si>
  <si>
    <t>FFS</t>
  </si>
  <si>
    <t>VSCS</t>
  </si>
  <si>
    <t>SCS</t>
  </si>
  <si>
    <t>FCS</t>
  </si>
  <si>
    <t>VFCS</t>
  </si>
  <si>
    <t>Hydropsychidae</t>
  </si>
  <si>
    <r>
      <t xml:space="preserve">SASS Scores:                                    GUIDELINES FOR SCORING (% of reference)
</t>
    </r>
    <r>
      <rPr>
        <sz val="9"/>
        <rFont val="Arial"/>
        <family val="2"/>
      </rPr>
      <t xml:space="preserve">&gt;90%  = 0
80-90% = 1
60-80%  = 2
40-60%  = 3
20-40%  = 4
&lt;20%  = 5    </t>
    </r>
  </si>
  <si>
    <r>
      <t xml:space="preserve">ASPT Values:                                     GUIDELINES FOR SCORING (% of reference)
</t>
    </r>
    <r>
      <rPr>
        <sz val="9"/>
        <rFont val="Arial"/>
        <family val="2"/>
      </rPr>
      <t>&gt;95% = 0
90-95%  = 1
85-90%  = 2
80-85%  = 3
75-80%  = 4
&lt;75%  = 5</t>
    </r>
  </si>
  <si>
    <t>COMMENTS</t>
  </si>
  <si>
    <t>Pyralidae (Crambidae)</t>
  </si>
  <si>
    <t>Chlorolestidae (Synlestidae)</t>
  </si>
  <si>
    <t>Tricorythidae</t>
  </si>
  <si>
    <t>Teloganodidae</t>
  </si>
  <si>
    <t>Bulininae</t>
  </si>
  <si>
    <t>Tricorythus discolor</t>
  </si>
  <si>
    <t>Site</t>
  </si>
  <si>
    <t>Date</t>
  </si>
  <si>
    <t>sampler</t>
  </si>
  <si>
    <t>River</t>
  </si>
  <si>
    <t>quat</t>
  </si>
  <si>
    <t>Ref Freq</t>
  </si>
  <si>
    <t>AAAAAF82b1k=</t>
  </si>
  <si>
    <t>AAAAAF82b1o=</t>
  </si>
</sst>
</file>

<file path=xl/styles.xml><?xml version="1.0" encoding="utf-8"?>
<styleSheet xmlns="http://schemas.openxmlformats.org/spreadsheetml/2006/main">
  <numFmts count="2">
    <numFmt numFmtId="164" formatCode="0.0"/>
    <numFmt numFmtId="165" formatCode="0.000"/>
  </numFmts>
  <fonts count="32">
    <font>
      <sz val="10"/>
      <name val="Arial"/>
    </font>
    <font>
      <b/>
      <sz val="10"/>
      <name val="Arial"/>
      <family val="2"/>
    </font>
    <font>
      <b/>
      <sz val="8"/>
      <color indexed="81"/>
      <name val="Tahoma"/>
      <family val="2"/>
    </font>
    <font>
      <i/>
      <sz val="10"/>
      <name val="Arial"/>
      <family val="2"/>
    </font>
    <font>
      <sz val="10"/>
      <name val="Arial"/>
      <family val="2"/>
    </font>
    <font>
      <b/>
      <sz val="7"/>
      <name val="Arial"/>
      <family val="2"/>
    </font>
    <font>
      <sz val="7"/>
      <name val="Arial"/>
      <family val="2"/>
    </font>
    <font>
      <sz val="8"/>
      <name val="Arial"/>
      <family val="2"/>
    </font>
    <font>
      <b/>
      <sz val="8"/>
      <name val="Arial"/>
      <family val="2"/>
    </font>
    <font>
      <sz val="6"/>
      <name val="Arial"/>
      <family val="2"/>
    </font>
    <font>
      <sz val="10"/>
      <color indexed="10"/>
      <name val="Arial"/>
      <family val="2"/>
    </font>
    <font>
      <b/>
      <sz val="9"/>
      <name val="Arial"/>
      <family val="2"/>
    </font>
    <font>
      <b/>
      <u/>
      <sz val="9"/>
      <name val="Arial"/>
      <family val="2"/>
    </font>
    <font>
      <sz val="9"/>
      <name val="Arial"/>
      <family val="2"/>
    </font>
    <font>
      <b/>
      <i/>
      <sz val="8"/>
      <name val="Arial"/>
      <family val="2"/>
    </font>
    <font>
      <b/>
      <sz val="10"/>
      <color indexed="9"/>
      <name val="Arial"/>
      <family val="2"/>
    </font>
    <font>
      <b/>
      <sz val="12"/>
      <name val="Arial"/>
      <family val="2"/>
    </font>
    <font>
      <b/>
      <sz val="9"/>
      <name val="A"/>
    </font>
    <font>
      <sz val="9"/>
      <name val="A"/>
    </font>
    <font>
      <sz val="8"/>
      <color indexed="81"/>
      <name val="Tahoma"/>
      <family val="2"/>
    </font>
    <font>
      <b/>
      <sz val="9"/>
      <color indexed="8"/>
      <name val="Arial"/>
      <family val="2"/>
    </font>
    <font>
      <sz val="9"/>
      <color indexed="8"/>
      <name val="Arial"/>
      <family val="2"/>
    </font>
    <font>
      <sz val="8"/>
      <color indexed="9"/>
      <name val="Arial"/>
      <family val="2"/>
    </font>
    <font>
      <sz val="9"/>
      <color indexed="9"/>
      <name val="Arial"/>
      <family val="2"/>
    </font>
    <font>
      <sz val="10"/>
      <color indexed="9"/>
      <name val="Arial"/>
      <family val="2"/>
    </font>
    <font>
      <sz val="10"/>
      <color indexed="9"/>
      <name val="Arial"/>
      <family val="2"/>
    </font>
    <font>
      <sz val="8"/>
      <color indexed="9"/>
      <name val="Arial"/>
      <family val="2"/>
    </font>
    <font>
      <sz val="10"/>
      <color rgb="FF0070C0"/>
      <name val="Arial"/>
      <family val="2"/>
    </font>
    <font>
      <sz val="10"/>
      <color rgb="FFFF0000"/>
      <name val="Arial"/>
      <family val="2"/>
    </font>
    <font>
      <sz val="8"/>
      <color rgb="FFFF0000"/>
      <name val="Arial"/>
      <family val="2"/>
    </font>
    <font>
      <sz val="11"/>
      <color rgb="FF006100"/>
      <name val="Calibri"/>
      <family val="2"/>
      <scheme val="minor"/>
    </font>
    <font>
      <sz val="11"/>
      <color rgb="FF1F497D"/>
      <name val="Calibri"/>
      <family val="2"/>
    </font>
  </fonts>
  <fills count="8">
    <fill>
      <patternFill patternType="none"/>
    </fill>
    <fill>
      <patternFill patternType="gray125"/>
    </fill>
    <fill>
      <patternFill patternType="solid">
        <fgColor indexed="15"/>
        <bgColor indexed="64"/>
      </patternFill>
    </fill>
    <fill>
      <patternFill patternType="solid">
        <fgColor indexed="22"/>
        <bgColor indexed="64"/>
      </patternFill>
    </fill>
    <fill>
      <patternFill patternType="solid">
        <fgColor indexed="63"/>
        <bgColor indexed="64"/>
      </patternFill>
    </fill>
    <fill>
      <patternFill patternType="solid">
        <fgColor indexed="41"/>
        <bgColor indexed="64"/>
      </patternFill>
    </fill>
    <fill>
      <patternFill patternType="solid">
        <fgColor rgb="FFC6EFCE"/>
      </patternFill>
    </fill>
    <fill>
      <patternFill patternType="solid">
        <fgColor theme="0"/>
        <bgColor indexed="64"/>
      </patternFill>
    </fill>
  </fills>
  <borders count="75">
    <border>
      <left/>
      <right/>
      <top/>
      <bottom/>
      <diagonal/>
    </border>
    <border>
      <left/>
      <right style="double">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double">
        <color indexed="64"/>
      </left>
      <right style="thick">
        <color indexed="64"/>
      </right>
      <top style="double">
        <color indexed="64"/>
      </top>
      <bottom style="thick">
        <color indexed="64"/>
      </bottom>
      <diagonal/>
    </border>
    <border>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ck">
        <color indexed="64"/>
      </top>
      <bottom style="medium">
        <color indexed="64"/>
      </bottom>
      <diagonal/>
    </border>
    <border>
      <left style="thin">
        <color indexed="64"/>
      </left>
      <right/>
      <top/>
      <bottom style="thick">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ck">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top style="medium">
        <color indexed="64"/>
      </top>
      <bottom style="thin">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bottom style="thick">
        <color indexed="64"/>
      </bottom>
      <diagonal/>
    </border>
    <border>
      <left style="double">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30" fillId="6" borderId="0" applyNumberFormat="0" applyBorder="0" applyAlignment="0" applyProtection="0"/>
  </cellStyleXfs>
  <cellXfs count="233">
    <xf numFmtId="0" fontId="0" fillId="0" borderId="0" xfId="0"/>
    <xf numFmtId="0" fontId="1" fillId="0" borderId="0" xfId="0" applyFont="1" applyAlignment="1">
      <alignment horizontal="right"/>
    </xf>
    <xf numFmtId="0" fontId="1" fillId="0" borderId="1" xfId="0" applyFont="1" applyBorder="1" applyAlignment="1">
      <alignment horizontal="right"/>
    </xf>
    <xf numFmtId="0" fontId="1" fillId="0" borderId="0" xfId="0" applyFont="1"/>
    <xf numFmtId="0" fontId="4" fillId="0" borderId="0" xfId="0" applyFont="1" applyAlignment="1">
      <alignment horizontal="left"/>
    </xf>
    <xf numFmtId="0" fontId="4" fillId="0" borderId="1" xfId="0" applyFont="1" applyBorder="1" applyAlignment="1">
      <alignment horizontal="left"/>
    </xf>
    <xf numFmtId="0" fontId="10" fillId="0" borderId="0" xfId="0" applyFont="1"/>
    <xf numFmtId="0" fontId="10" fillId="0" borderId="1" xfId="0" applyFont="1" applyBorder="1"/>
    <xf numFmtId="0" fontId="0" fillId="2" borderId="0" xfId="0" applyFill="1"/>
    <xf numFmtId="0" fontId="0" fillId="0" borderId="1" xfId="0" applyBorder="1"/>
    <xf numFmtId="0" fontId="0" fillId="2" borderId="1" xfId="0" applyFill="1" applyBorder="1"/>
    <xf numFmtId="0" fontId="4" fillId="0" borderId="0" xfId="0" applyFont="1" applyAlignment="1">
      <alignment horizontal="center"/>
    </xf>
    <xf numFmtId="0" fontId="4" fillId="0" borderId="1"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10" fillId="2" borderId="0" xfId="0" applyFont="1" applyFill="1"/>
    <xf numFmtId="0" fontId="4" fillId="0" borderId="0" xfId="0" applyFont="1"/>
    <xf numFmtId="0" fontId="4" fillId="2" borderId="0" xfId="0" applyFont="1" applyFill="1"/>
    <xf numFmtId="0" fontId="4" fillId="0" borderId="1" xfId="0" applyFont="1" applyBorder="1"/>
    <xf numFmtId="0" fontId="10" fillId="2" borderId="1" xfId="0" applyFont="1" applyFill="1" applyBorder="1"/>
    <xf numFmtId="0" fontId="10" fillId="0" borderId="0" xfId="0" applyFont="1" applyFill="1"/>
    <xf numFmtId="0" fontId="0" fillId="0" borderId="0" xfId="0" applyFill="1"/>
    <xf numFmtId="0" fontId="0" fillId="0" borderId="1" xfId="0" applyFill="1" applyBorder="1"/>
    <xf numFmtId="0" fontId="4" fillId="0" borderId="0" xfId="0" applyFont="1" applyFill="1"/>
    <xf numFmtId="0" fontId="4" fillId="2" borderId="1" xfId="0" applyFont="1" applyFill="1" applyBorder="1"/>
    <xf numFmtId="0" fontId="4" fillId="0" borderId="1" xfId="0" applyFont="1" applyFill="1" applyBorder="1"/>
    <xf numFmtId="0" fontId="10" fillId="0" borderId="1" xfId="0" applyFont="1" applyFill="1" applyBorder="1"/>
    <xf numFmtId="0" fontId="4" fillId="0" borderId="0" xfId="0" applyFont="1" applyFill="1" applyAlignment="1">
      <alignment horizontal="center"/>
    </xf>
    <xf numFmtId="0" fontId="4" fillId="0" borderId="1" xfId="0" applyFont="1" applyFill="1" applyBorder="1" applyAlignment="1">
      <alignment horizontal="center"/>
    </xf>
    <xf numFmtId="0" fontId="3" fillId="0" borderId="1" xfId="0" applyFont="1" applyFill="1" applyBorder="1" applyAlignment="1">
      <alignment horizontal="right"/>
    </xf>
    <xf numFmtId="0" fontId="3" fillId="0" borderId="0" xfId="0" applyFont="1" applyAlignment="1">
      <alignment horizontal="right"/>
    </xf>
    <xf numFmtId="0" fontId="3" fillId="0" borderId="1" xfId="0" applyFont="1" applyBorder="1" applyAlignment="1">
      <alignment horizontal="right"/>
    </xf>
    <xf numFmtId="0" fontId="1" fillId="0" borderId="1" xfId="0" applyFont="1" applyBorder="1"/>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6" xfId="0" applyFont="1" applyFill="1" applyBorder="1" applyAlignment="1" applyProtection="1">
      <alignment wrapText="1"/>
      <protection locked="0"/>
    </xf>
    <xf numFmtId="0" fontId="4" fillId="3" borderId="4" xfId="0" applyFont="1" applyFill="1" applyBorder="1" applyAlignment="1" applyProtection="1">
      <alignment wrapText="1"/>
      <protection locked="0"/>
    </xf>
    <xf numFmtId="164" fontId="4" fillId="0" borderId="7" xfId="0" applyNumberFormat="1" applyFont="1" applyBorder="1" applyAlignment="1" applyProtection="1"/>
    <xf numFmtId="165" fontId="3" fillId="0" borderId="8" xfId="0" applyNumberFormat="1" applyFont="1" applyBorder="1" applyAlignment="1" applyProtection="1">
      <alignment wrapText="1"/>
    </xf>
    <xf numFmtId="0" fontId="4" fillId="0" borderId="7" xfId="0" applyFont="1" applyFill="1" applyBorder="1" applyAlignment="1" applyProtection="1">
      <alignment wrapText="1"/>
    </xf>
    <xf numFmtId="0" fontId="4" fillId="3" borderId="7" xfId="0" applyFont="1" applyFill="1" applyBorder="1" applyProtection="1">
      <protection locked="0"/>
    </xf>
    <xf numFmtId="164" fontId="4" fillId="0" borderId="9" xfId="0" applyNumberFormat="1" applyFont="1" applyBorder="1" applyAlignment="1" applyProtection="1"/>
    <xf numFmtId="165" fontId="3" fillId="0" borderId="10" xfId="0" applyNumberFormat="1" applyFont="1" applyBorder="1" applyAlignment="1" applyProtection="1">
      <alignment wrapText="1"/>
    </xf>
    <xf numFmtId="0" fontId="4" fillId="0" borderId="9" xfId="0" applyFont="1" applyFill="1" applyBorder="1" applyAlignment="1" applyProtection="1">
      <alignment wrapText="1"/>
    </xf>
    <xf numFmtId="0" fontId="4" fillId="3" borderId="9" xfId="0" applyFont="1" applyFill="1" applyBorder="1" applyProtection="1">
      <protection locked="0"/>
    </xf>
    <xf numFmtId="165" fontId="4" fillId="0" borderId="8" xfId="0" applyNumberFormat="1" applyFont="1" applyBorder="1" applyAlignment="1" applyProtection="1">
      <alignment wrapText="1"/>
    </xf>
    <xf numFmtId="0" fontId="4" fillId="0" borderId="7" xfId="0" applyFont="1" applyBorder="1" applyAlignment="1" applyProtection="1"/>
    <xf numFmtId="0" fontId="4" fillId="0" borderId="8" xfId="0" applyFont="1" applyBorder="1" applyAlignment="1" applyProtection="1">
      <alignment wrapText="1"/>
    </xf>
    <xf numFmtId="0" fontId="4" fillId="0" borderId="7" xfId="0" applyFont="1" applyFill="1" applyBorder="1" applyProtection="1"/>
    <xf numFmtId="2" fontId="4" fillId="0" borderId="9" xfId="0" applyNumberFormat="1" applyFont="1" applyBorder="1" applyAlignment="1" applyProtection="1"/>
    <xf numFmtId="0" fontId="4" fillId="0" borderId="10" xfId="0" applyFont="1" applyBorder="1" applyAlignment="1" applyProtection="1">
      <alignment wrapText="1"/>
    </xf>
    <xf numFmtId="2" fontId="15" fillId="4" borderId="11" xfId="0" applyNumberFormat="1" applyFont="1" applyFill="1" applyBorder="1" applyAlignment="1" applyProtection="1">
      <alignment horizontal="center" vertical="top"/>
    </xf>
    <xf numFmtId="0" fontId="11" fillId="0" borderId="12" xfId="0" applyFont="1" applyBorder="1" applyAlignment="1" applyProtection="1">
      <alignment horizontal="center" vertical="center" wrapText="1"/>
    </xf>
    <xf numFmtId="2" fontId="17" fillId="0" borderId="13" xfId="0" applyNumberFormat="1" applyFont="1" applyBorder="1" applyAlignment="1" applyProtection="1">
      <alignment horizontal="center" vertical="center" textRotation="90" wrapText="1"/>
    </xf>
    <xf numFmtId="0" fontId="13" fillId="0" borderId="14" xfId="0" applyFont="1" applyBorder="1" applyAlignment="1" applyProtection="1">
      <alignment horizontal="left" vertical="top" wrapText="1"/>
    </xf>
    <xf numFmtId="2" fontId="18" fillId="3" borderId="15" xfId="0" applyNumberFormat="1" applyFont="1" applyFill="1" applyBorder="1" applyAlignment="1" applyProtection="1">
      <alignment horizontal="center" vertical="center"/>
      <protection locked="0"/>
    </xf>
    <xf numFmtId="0" fontId="13" fillId="0" borderId="16" xfId="0" applyFont="1" applyBorder="1" applyAlignment="1" applyProtection="1">
      <alignment horizontal="left" wrapText="1"/>
    </xf>
    <xf numFmtId="0" fontId="1" fillId="0" borderId="0" xfId="0" applyFont="1" applyFill="1" applyAlignment="1">
      <alignment horizontal="right"/>
    </xf>
    <xf numFmtId="0" fontId="4" fillId="3" borderId="17" xfId="0" applyFont="1" applyFill="1" applyBorder="1" applyAlignment="1" applyProtection="1">
      <alignment horizontal="left" vertical="center" wrapText="1"/>
      <protection locked="0"/>
    </xf>
    <xf numFmtId="0" fontId="4" fillId="0" borderId="0" xfId="0" applyFont="1" applyFill="1" applyAlignment="1">
      <alignment horizontal="left"/>
    </xf>
    <xf numFmtId="0" fontId="3" fillId="0" borderId="0" xfId="0" applyFont="1" applyFill="1" applyAlignment="1">
      <alignment horizontal="right"/>
    </xf>
    <xf numFmtId="0" fontId="3" fillId="0" borderId="0" xfId="0" applyFont="1" applyFill="1" applyAlignment="1">
      <alignment horizontal="center"/>
    </xf>
    <xf numFmtId="0" fontId="4" fillId="3" borderId="17" xfId="0" applyFont="1" applyFill="1" applyBorder="1" applyAlignment="1" applyProtection="1">
      <alignment horizontal="left" vertical="center"/>
      <protection locked="0"/>
    </xf>
    <xf numFmtId="0" fontId="4" fillId="3" borderId="18" xfId="0" applyFont="1" applyFill="1" applyBorder="1" applyAlignment="1" applyProtection="1">
      <alignment horizontal="left" vertical="center"/>
      <protection locked="0"/>
    </xf>
    <xf numFmtId="0" fontId="4" fillId="3" borderId="18" xfId="0" applyFont="1" applyFill="1" applyBorder="1" applyAlignment="1" applyProtection="1">
      <alignment wrapText="1"/>
      <protection locked="0"/>
    </xf>
    <xf numFmtId="0" fontId="7" fillId="0" borderId="0" xfId="0" applyFont="1" applyAlignment="1" applyProtection="1">
      <alignment wrapText="1"/>
    </xf>
    <xf numFmtId="0" fontId="7" fillId="0" borderId="0" xfId="0" applyFont="1" applyProtection="1"/>
    <xf numFmtId="164" fontId="12" fillId="0" borderId="19" xfId="0" applyNumberFormat="1" applyFont="1" applyBorder="1" applyAlignment="1" applyProtection="1">
      <alignment horizontal="center" vertical="center" wrapText="1"/>
    </xf>
    <xf numFmtId="0" fontId="11" fillId="0" borderId="20" xfId="0" applyFont="1" applyBorder="1" applyAlignment="1" applyProtection="1">
      <alignment horizontal="center" vertical="center" textRotation="90" wrapText="1"/>
    </xf>
    <xf numFmtId="0" fontId="11" fillId="0" borderId="21" xfId="0" applyFont="1" applyBorder="1" applyAlignment="1" applyProtection="1">
      <alignment horizontal="center" vertical="center" textRotation="90"/>
    </xf>
    <xf numFmtId="0" fontId="4" fillId="0" borderId="22" xfId="0" applyFont="1" applyBorder="1" applyAlignment="1" applyProtection="1">
      <alignment horizontal="left" vertical="center" wrapText="1"/>
    </xf>
    <xf numFmtId="0" fontId="7" fillId="0" borderId="0" xfId="0" applyFont="1" applyAlignment="1" applyProtection="1">
      <alignment horizontal="left" vertical="center"/>
    </xf>
    <xf numFmtId="0" fontId="4" fillId="0" borderId="23" xfId="0" applyFont="1" applyBorder="1" applyAlignment="1" applyProtection="1">
      <alignment horizontal="left" vertical="center" wrapText="1"/>
    </xf>
    <xf numFmtId="0" fontId="1" fillId="0" borderId="24" xfId="0" applyFont="1" applyBorder="1" applyAlignment="1" applyProtection="1">
      <alignment wrapText="1"/>
    </xf>
    <xf numFmtId="0" fontId="4" fillId="0" borderId="25" xfId="0" applyFont="1" applyBorder="1" applyAlignment="1" applyProtection="1">
      <alignment wrapText="1"/>
    </xf>
    <xf numFmtId="0" fontId="4" fillId="0" borderId="25" xfId="0" applyFont="1" applyBorder="1" applyProtection="1"/>
    <xf numFmtId="2" fontId="20" fillId="0" borderId="0" xfId="0" applyNumberFormat="1" applyFont="1" applyAlignment="1" applyProtection="1">
      <alignment vertical="top" wrapText="1"/>
    </xf>
    <xf numFmtId="0" fontId="11" fillId="0" borderId="0" xfId="0" applyFont="1" applyAlignment="1" applyProtection="1">
      <alignment vertical="top" wrapText="1"/>
    </xf>
    <xf numFmtId="2" fontId="11" fillId="0" borderId="0" xfId="0" applyNumberFormat="1" applyFont="1" applyAlignment="1" applyProtection="1">
      <alignment vertical="top" wrapText="1"/>
    </xf>
    <xf numFmtId="0" fontId="11" fillId="0" borderId="26" xfId="0" applyFont="1" applyBorder="1" applyAlignment="1" applyProtection="1">
      <alignment vertical="center" textRotation="90" wrapText="1"/>
    </xf>
    <xf numFmtId="0" fontId="11" fillId="0" borderId="20" xfId="0" applyFont="1" applyBorder="1" applyAlignment="1" applyProtection="1">
      <alignment vertical="center" textRotation="90" wrapText="1"/>
    </xf>
    <xf numFmtId="0" fontId="11" fillId="0" borderId="21" xfId="0" applyFont="1" applyBorder="1" applyAlignment="1" applyProtection="1">
      <alignment vertical="center" textRotation="90"/>
    </xf>
    <xf numFmtId="0" fontId="13" fillId="0" borderId="0" xfId="0" applyFont="1" applyProtection="1"/>
    <xf numFmtId="0" fontId="4" fillId="0" borderId="27"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4" fillId="0" borderId="29" xfId="0" applyFont="1" applyBorder="1" applyAlignment="1" applyProtection="1">
      <alignment horizontal="left" vertical="center" wrapText="1"/>
    </xf>
    <xf numFmtId="0" fontId="4" fillId="0" borderId="30" xfId="0" applyFont="1" applyBorder="1" applyAlignment="1" applyProtection="1">
      <alignment wrapText="1"/>
    </xf>
    <xf numFmtId="0" fontId="4" fillId="0" borderId="0" xfId="0" applyFont="1" applyBorder="1" applyAlignment="1" applyProtection="1">
      <alignment wrapText="1"/>
    </xf>
    <xf numFmtId="0" fontId="4" fillId="0" borderId="31" xfId="0" applyFont="1" applyBorder="1" applyAlignment="1" applyProtection="1">
      <alignment wrapText="1"/>
    </xf>
    <xf numFmtId="0" fontId="1" fillId="0" borderId="32" xfId="0" applyFont="1" applyBorder="1" applyAlignment="1" applyProtection="1">
      <alignment wrapText="1"/>
    </xf>
    <xf numFmtId="0" fontId="4" fillId="0" borderId="33" xfId="0" applyFont="1" applyBorder="1" applyAlignment="1" applyProtection="1">
      <alignment wrapText="1"/>
    </xf>
    <xf numFmtId="0" fontId="12" fillId="0" borderId="34" xfId="0" applyFont="1" applyBorder="1" applyAlignment="1" applyProtection="1">
      <alignment horizontal="center" vertical="center" wrapText="1"/>
    </xf>
    <xf numFmtId="0" fontId="11" fillId="0" borderId="35" xfId="0" applyFont="1" applyBorder="1" applyAlignment="1" applyProtection="1">
      <alignment horizontal="center" vertical="center" textRotation="90" wrapText="1"/>
    </xf>
    <xf numFmtId="0" fontId="11" fillId="0" borderId="36" xfId="0" applyFont="1" applyBorder="1" applyAlignment="1" applyProtection="1">
      <alignment horizontal="center" vertical="center" textRotation="90" wrapText="1"/>
    </xf>
    <xf numFmtId="0" fontId="11" fillId="0" borderId="37" xfId="0" applyFont="1" applyBorder="1" applyAlignment="1" applyProtection="1">
      <alignment horizontal="center" vertical="center" textRotation="90"/>
    </xf>
    <xf numFmtId="0" fontId="4" fillId="0" borderId="38" xfId="0" applyFont="1" applyBorder="1" applyAlignment="1" applyProtection="1">
      <alignment horizontal="left" vertical="center" wrapText="1"/>
    </xf>
    <xf numFmtId="0" fontId="4" fillId="0" borderId="0" xfId="0" applyFont="1" applyAlignment="1" applyProtection="1">
      <alignment wrapText="1"/>
    </xf>
    <xf numFmtId="0" fontId="0" fillId="0" borderId="0" xfId="0" applyAlignment="1" applyProtection="1"/>
    <xf numFmtId="0" fontId="16" fillId="0" borderId="39" xfId="0" applyFont="1" applyBorder="1" applyProtection="1"/>
    <xf numFmtId="0" fontId="0" fillId="0" borderId="40" xfId="0" applyBorder="1" applyAlignment="1" applyProtection="1">
      <alignment horizontal="center"/>
    </xf>
    <xf numFmtId="0" fontId="0" fillId="0" borderId="0" xfId="0" applyProtection="1"/>
    <xf numFmtId="164" fontId="11" fillId="0" borderId="19" xfId="0" applyNumberFormat="1" applyFont="1" applyBorder="1" applyAlignment="1" applyProtection="1">
      <alignment horizontal="center" vertical="center" wrapText="1"/>
    </xf>
    <xf numFmtId="2" fontId="8" fillId="0" borderId="0" xfId="0" applyNumberFormat="1" applyFont="1" applyProtection="1"/>
    <xf numFmtId="0" fontId="6" fillId="0" borderId="0" xfId="0" applyFont="1" applyAlignment="1" applyProtection="1">
      <alignment wrapText="1"/>
    </xf>
    <xf numFmtId="0" fontId="6" fillId="0" borderId="0" xfId="0" applyFont="1" applyProtection="1"/>
    <xf numFmtId="0" fontId="11" fillId="0" borderId="0" xfId="0" applyFont="1" applyAlignment="1" applyProtection="1"/>
    <xf numFmtId="0" fontId="11" fillId="0" borderId="41" xfId="0" applyFont="1" applyBorder="1" applyAlignment="1" applyProtection="1">
      <alignment horizontal="center" vertical="center" textRotation="90" wrapText="1"/>
    </xf>
    <xf numFmtId="0" fontId="11" fillId="0" borderId="42" xfId="0" applyFont="1" applyBorder="1" applyAlignment="1" applyProtection="1">
      <alignment horizontal="center" vertical="center" textRotation="90" wrapText="1"/>
    </xf>
    <xf numFmtId="0" fontId="1" fillId="0" borderId="8" xfId="0" applyFont="1" applyBorder="1" applyAlignment="1" applyProtection="1"/>
    <xf numFmtId="0" fontId="1" fillId="0" borderId="43" xfId="0" applyFont="1" applyBorder="1" applyAlignment="1" applyProtection="1"/>
    <xf numFmtId="0" fontId="4" fillId="0" borderId="0" xfId="0" applyFont="1" applyProtection="1"/>
    <xf numFmtId="0" fontId="1" fillId="0" borderId="10" xfId="0" applyFont="1" applyBorder="1" applyAlignment="1" applyProtection="1"/>
    <xf numFmtId="0" fontId="1" fillId="0" borderId="44" xfId="0" applyFont="1" applyBorder="1" applyAlignment="1" applyProtection="1"/>
    <xf numFmtId="0" fontId="4" fillId="0" borderId="8" xfId="0" applyFont="1" applyBorder="1" applyAlignment="1" applyProtection="1"/>
    <xf numFmtId="0" fontId="4" fillId="0" borderId="43" xfId="0" applyFont="1" applyBorder="1" applyAlignment="1" applyProtection="1"/>
    <xf numFmtId="0" fontId="4" fillId="0" borderId="7" xfId="0" applyFont="1" applyBorder="1" applyProtection="1"/>
    <xf numFmtId="0" fontId="4" fillId="0" borderId="9" xfId="0" applyFont="1" applyFill="1" applyBorder="1" applyProtection="1"/>
    <xf numFmtId="0" fontId="4" fillId="0" borderId="9" xfId="0" applyFont="1" applyBorder="1" applyProtection="1"/>
    <xf numFmtId="0" fontId="4" fillId="0" borderId="0" xfId="0" applyFont="1" applyBorder="1" applyAlignment="1" applyProtection="1"/>
    <xf numFmtId="0" fontId="4" fillId="0" borderId="0" xfId="0" applyFont="1" applyAlignment="1" applyProtection="1"/>
    <xf numFmtId="0" fontId="6" fillId="0" borderId="0" xfId="0" applyFont="1" applyBorder="1" applyAlignment="1" applyProtection="1">
      <alignment wrapText="1"/>
    </xf>
    <xf numFmtId="0" fontId="6" fillId="0" borderId="0" xfId="0" applyFont="1" applyAlignment="1" applyProtection="1">
      <alignment vertical="top"/>
    </xf>
    <xf numFmtId="0" fontId="9" fillId="0" borderId="0" xfId="0" applyFont="1" applyBorder="1" applyAlignment="1" applyProtection="1">
      <alignment wrapText="1"/>
    </xf>
    <xf numFmtId="165" fontId="6" fillId="0" borderId="0" xfId="0" applyNumberFormat="1" applyFont="1" applyBorder="1" applyAlignment="1" applyProtection="1">
      <alignment wrapText="1"/>
    </xf>
    <xf numFmtId="165" fontId="6" fillId="0" borderId="0" xfId="0" applyNumberFormat="1" applyFont="1" applyBorder="1" applyProtection="1"/>
    <xf numFmtId="0" fontId="6" fillId="0" borderId="0" xfId="0" applyFont="1" applyBorder="1" applyProtection="1"/>
    <xf numFmtId="165" fontId="5" fillId="0" borderId="0" xfId="0" applyNumberFormat="1" applyFont="1" applyBorder="1" applyAlignment="1" applyProtection="1">
      <alignment wrapText="1"/>
    </xf>
    <xf numFmtId="0" fontId="22" fillId="0" borderId="0" xfId="0" applyFont="1" applyProtection="1"/>
    <xf numFmtId="0" fontId="22" fillId="0" borderId="0" xfId="0" applyFont="1" applyAlignment="1" applyProtection="1">
      <alignment horizontal="left" vertical="center"/>
    </xf>
    <xf numFmtId="0" fontId="22" fillId="0" borderId="0" xfId="0" applyFont="1" applyAlignment="1" applyProtection="1"/>
    <xf numFmtId="0" fontId="23" fillId="0" borderId="0" xfId="0" applyFont="1" applyProtection="1"/>
    <xf numFmtId="0" fontId="24" fillId="0" borderId="0" xfId="0" applyFont="1" applyAlignment="1" applyProtection="1">
      <alignment wrapText="1"/>
    </xf>
    <xf numFmtId="0" fontId="11" fillId="0" borderId="45" xfId="0" applyFont="1" applyBorder="1" applyAlignment="1" applyProtection="1">
      <alignment horizontal="center" vertical="center" textRotation="90" wrapText="1"/>
    </xf>
    <xf numFmtId="0" fontId="4" fillId="0" borderId="46" xfId="0" applyFont="1" applyBorder="1" applyProtection="1"/>
    <xf numFmtId="0" fontId="25" fillId="0" borderId="0" xfId="0" applyFont="1" applyProtection="1"/>
    <xf numFmtId="0" fontId="26" fillId="0" borderId="0" xfId="0" applyFont="1" applyProtection="1"/>
    <xf numFmtId="0" fontId="26" fillId="0" borderId="0" xfId="0" applyFont="1" applyAlignment="1" applyProtection="1">
      <alignment horizontal="left" vertical="center"/>
    </xf>
    <xf numFmtId="0" fontId="3" fillId="0" borderId="4" xfId="0" applyFont="1" applyBorder="1" applyAlignment="1">
      <alignment horizontal="right"/>
    </xf>
    <xf numFmtId="0" fontId="0" fillId="0" borderId="47" xfId="0" applyBorder="1"/>
    <xf numFmtId="0" fontId="0" fillId="0" borderId="0" xfId="0" applyBorder="1"/>
    <xf numFmtId="0" fontId="0" fillId="0" borderId="43" xfId="0" applyBorder="1"/>
    <xf numFmtId="0" fontId="0" fillId="0" borderId="48" xfId="0" applyBorder="1"/>
    <xf numFmtId="0" fontId="0" fillId="0" borderId="49" xfId="0" applyBorder="1"/>
    <xf numFmtId="0" fontId="0" fillId="0" borderId="50" xfId="0" applyBorder="1"/>
    <xf numFmtId="0" fontId="3" fillId="0" borderId="51" xfId="0" applyFont="1" applyBorder="1" applyAlignment="1">
      <alignment horizontal="right"/>
    </xf>
    <xf numFmtId="0" fontId="3" fillId="0" borderId="52" xfId="0" applyFont="1" applyFill="1" applyBorder="1" applyAlignment="1">
      <alignment horizontal="right"/>
    </xf>
    <xf numFmtId="0" fontId="3" fillId="0" borderId="53" xfId="0" applyFont="1" applyFill="1" applyBorder="1" applyAlignment="1">
      <alignment horizontal="right"/>
    </xf>
    <xf numFmtId="0" fontId="3" fillId="0" borderId="51" xfId="0" applyFont="1" applyFill="1" applyBorder="1" applyAlignment="1">
      <alignment horizontal="right"/>
    </xf>
    <xf numFmtId="0" fontId="3" fillId="0" borderId="53" xfId="0" applyFont="1" applyBorder="1" applyAlignment="1">
      <alignment horizontal="right"/>
    </xf>
    <xf numFmtId="0" fontId="7" fillId="0" borderId="54" xfId="0" applyFont="1" applyBorder="1" applyAlignment="1" applyProtection="1">
      <alignment wrapText="1"/>
    </xf>
    <xf numFmtId="0" fontId="7" fillId="0" borderId="55" xfId="0" applyFont="1" applyBorder="1" applyAlignment="1" applyProtection="1">
      <alignment wrapText="1"/>
    </xf>
    <xf numFmtId="0" fontId="7" fillId="0" borderId="55" xfId="0" applyFont="1" applyBorder="1" applyProtection="1"/>
    <xf numFmtId="0" fontId="7" fillId="0" borderId="56" xfId="0" applyFont="1" applyBorder="1" applyProtection="1"/>
    <xf numFmtId="164" fontId="12" fillId="0" borderId="26" xfId="0" applyNumberFormat="1" applyFont="1" applyBorder="1" applyAlignment="1" applyProtection="1">
      <alignment horizontal="center" vertical="center" wrapText="1"/>
    </xf>
    <xf numFmtId="0" fontId="11" fillId="0" borderId="57" xfId="0" applyFont="1" applyBorder="1" applyAlignment="1" applyProtection="1">
      <alignment horizontal="center" vertical="center" textRotation="90"/>
    </xf>
    <xf numFmtId="0" fontId="4" fillId="0" borderId="58"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1" fillId="0" borderId="59" xfId="0" applyFont="1" applyBorder="1" applyAlignment="1" applyProtection="1">
      <alignment wrapText="1"/>
    </xf>
    <xf numFmtId="1" fontId="7" fillId="0" borderId="60" xfId="0" applyNumberFormat="1" applyFont="1" applyBorder="1" applyProtection="1"/>
    <xf numFmtId="0" fontId="7" fillId="0" borderId="61" xfId="0" applyFont="1" applyBorder="1" applyAlignment="1" applyProtection="1">
      <alignment wrapText="1"/>
    </xf>
    <xf numFmtId="0" fontId="7" fillId="0" borderId="62" xfId="0" applyFont="1" applyBorder="1" applyAlignment="1" applyProtection="1">
      <alignment wrapText="1"/>
    </xf>
    <xf numFmtId="0" fontId="7" fillId="0" borderId="62" xfId="0" applyFont="1" applyBorder="1" applyProtection="1"/>
    <xf numFmtId="0" fontId="7" fillId="0" borderId="63" xfId="0" applyFont="1" applyBorder="1" applyProtection="1"/>
    <xf numFmtId="0" fontId="4" fillId="3" borderId="18" xfId="0" applyFont="1" applyFill="1" applyBorder="1" applyAlignment="1" applyProtection="1">
      <alignment horizontal="left" vertical="center" wrapText="1"/>
      <protection locked="0"/>
    </xf>
    <xf numFmtId="0" fontId="4" fillId="0" borderId="65" xfId="0" applyFont="1" applyBorder="1" applyAlignment="1" applyProtection="1">
      <alignment wrapText="1"/>
    </xf>
    <xf numFmtId="1" fontId="7" fillId="0" borderId="66" xfId="0" applyNumberFormat="1" applyFont="1" applyBorder="1" applyProtection="1"/>
    <xf numFmtId="1" fontId="4" fillId="0" borderId="66" xfId="0" applyNumberFormat="1" applyFont="1" applyBorder="1" applyAlignment="1" applyProtection="1">
      <alignment wrapText="1"/>
    </xf>
    <xf numFmtId="0" fontId="4" fillId="3" borderId="67" xfId="0" applyFont="1" applyFill="1" applyBorder="1" applyAlignment="1" applyProtection="1">
      <alignment horizontal="left" vertical="center"/>
      <protection locked="0"/>
    </xf>
    <xf numFmtId="0" fontId="4" fillId="3" borderId="51"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47" xfId="0" applyFont="1" applyFill="1" applyBorder="1" applyAlignment="1" applyProtection="1">
      <alignment horizontal="left" vertical="center"/>
      <protection locked="0"/>
    </xf>
    <xf numFmtId="0" fontId="4" fillId="3" borderId="64" xfId="0" applyFont="1" applyFill="1" applyBorder="1" applyAlignment="1" applyProtection="1">
      <alignment horizontal="left" vertical="center"/>
      <protection locked="0"/>
    </xf>
    <xf numFmtId="0" fontId="0" fillId="0" borderId="23" xfId="0" applyBorder="1" applyAlignment="1" applyProtection="1">
      <alignment wrapText="1"/>
    </xf>
    <xf numFmtId="1" fontId="1" fillId="0" borderId="68" xfId="0" applyNumberFormat="1" applyFont="1" applyBorder="1" applyAlignment="1" applyProtection="1">
      <alignment wrapText="1"/>
    </xf>
    <xf numFmtId="0" fontId="4" fillId="0" borderId="69" xfId="0" applyFont="1" applyFill="1" applyBorder="1" applyAlignment="1" applyProtection="1">
      <alignment wrapText="1"/>
    </xf>
    <xf numFmtId="0" fontId="4" fillId="0" borderId="46" xfId="0" applyFont="1" applyFill="1" applyBorder="1" applyAlignment="1" applyProtection="1">
      <alignment wrapText="1"/>
    </xf>
    <xf numFmtId="0" fontId="4" fillId="0" borderId="68" xfId="0" applyFont="1" applyFill="1" applyBorder="1" applyProtection="1"/>
    <xf numFmtId="0" fontId="11" fillId="0" borderId="20" xfId="0" applyFont="1" applyBorder="1" applyAlignment="1" applyProtection="1">
      <alignment horizontal="center" vertical="center" textRotation="90" wrapText="1"/>
      <protection locked="0"/>
    </xf>
    <xf numFmtId="0" fontId="4" fillId="0" borderId="0" xfId="0" applyFont="1" applyBorder="1" applyAlignment="1">
      <alignment horizontal="left"/>
    </xf>
    <xf numFmtId="0" fontId="0" fillId="0" borderId="0" xfId="0" applyBorder="1" applyAlignment="1">
      <alignment horizontal="left"/>
    </xf>
    <xf numFmtId="0" fontId="4" fillId="0" borderId="0" xfId="0" applyFont="1" applyFill="1" applyBorder="1" applyAlignment="1">
      <alignment horizontal="left"/>
    </xf>
    <xf numFmtId="0" fontId="8" fillId="0" borderId="0" xfId="0" applyFont="1" applyAlignment="1" applyProtection="1">
      <alignment horizontal="center" vertical="center" textRotation="90"/>
    </xf>
    <xf numFmtId="0" fontId="7" fillId="5" borderId="0" xfId="0" applyFont="1" applyFill="1" applyAlignment="1" applyProtection="1">
      <alignment horizontal="left" vertical="center"/>
      <protection locked="0"/>
    </xf>
    <xf numFmtId="0" fontId="4" fillId="3" borderId="25" xfId="0" applyFont="1" applyFill="1" applyBorder="1" applyAlignment="1" applyProtection="1">
      <alignment wrapText="1"/>
      <protection locked="0"/>
    </xf>
    <xf numFmtId="0" fontId="4" fillId="3" borderId="25" xfId="0" applyFont="1" applyFill="1" applyBorder="1" applyProtection="1">
      <protection locked="0"/>
    </xf>
    <xf numFmtId="0" fontId="4" fillId="3" borderId="70" xfId="0" applyFont="1" applyFill="1" applyBorder="1" applyProtection="1">
      <protection locked="0"/>
    </xf>
    <xf numFmtId="0" fontId="11" fillId="0" borderId="0" xfId="0" applyFont="1" applyAlignment="1" applyProtection="1">
      <alignment horizontal="center" vertical="center" textRotation="90"/>
    </xf>
    <xf numFmtId="0" fontId="7" fillId="5" borderId="0" xfId="0" applyFont="1" applyFill="1" applyProtection="1">
      <protection locked="0"/>
    </xf>
    <xf numFmtId="0" fontId="0" fillId="0" borderId="0" xfId="0" applyFill="1" applyAlignment="1"/>
    <xf numFmtId="0" fontId="1" fillId="0" borderId="0" xfId="0" applyFont="1" applyAlignment="1" applyProtection="1">
      <alignment horizontal="center" vertical="center" textRotation="90"/>
    </xf>
    <xf numFmtId="0" fontId="0" fillId="5" borderId="0" xfId="0" applyFill="1" applyProtection="1">
      <protection locked="0"/>
    </xf>
    <xf numFmtId="0" fontId="4" fillId="5" borderId="0" xfId="0" applyFont="1" applyFill="1" applyProtection="1">
      <protection locked="0"/>
    </xf>
    <xf numFmtId="0" fontId="3" fillId="0" borderId="0" xfId="0" applyFont="1" applyBorder="1" applyAlignment="1">
      <alignment horizontal="right"/>
    </xf>
    <xf numFmtId="0" fontId="4" fillId="3" borderId="69" xfId="0" applyFont="1" applyFill="1" applyBorder="1" applyAlignment="1" applyProtection="1">
      <alignment horizontal="left" vertical="center" wrapText="1"/>
      <protection locked="0"/>
    </xf>
    <xf numFmtId="0" fontId="4" fillId="3" borderId="74" xfId="0" applyFont="1" applyFill="1" applyBorder="1" applyAlignment="1" applyProtection="1">
      <alignment horizontal="left" vertical="center" wrapText="1"/>
      <protection locked="0"/>
    </xf>
    <xf numFmtId="0" fontId="4" fillId="3" borderId="69" xfId="0" applyFont="1" applyFill="1" applyBorder="1" applyAlignment="1" applyProtection="1">
      <alignment horizontal="left" vertical="center"/>
      <protection locked="0"/>
    </xf>
    <xf numFmtId="0" fontId="4" fillId="3" borderId="74" xfId="0" applyFont="1" applyFill="1" applyBorder="1" applyAlignment="1" applyProtection="1">
      <alignment horizontal="left" vertical="center"/>
      <protection locked="0"/>
    </xf>
    <xf numFmtId="0" fontId="4" fillId="0" borderId="0" xfId="0" applyFont="1" applyFill="1" applyBorder="1" applyAlignment="1">
      <alignment horizontal="center"/>
    </xf>
    <xf numFmtId="0" fontId="27" fillId="0" borderId="0" xfId="0" applyFont="1"/>
    <xf numFmtId="0" fontId="28" fillId="0" borderId="0" xfId="0" applyFont="1" applyFill="1"/>
    <xf numFmtId="0" fontId="28" fillId="0" borderId="0" xfId="0" applyFont="1" applyFill="1" applyBorder="1" applyAlignment="1">
      <alignment horizontal="center"/>
    </xf>
    <xf numFmtId="0" fontId="7" fillId="0" borderId="0" xfId="0" applyFont="1" applyFill="1" applyBorder="1" applyAlignment="1">
      <alignment horizontal="center"/>
    </xf>
    <xf numFmtId="0" fontId="29" fillId="0" borderId="0" xfId="0" applyFont="1" applyFill="1" applyBorder="1" applyAlignment="1">
      <alignment horizontal="center"/>
    </xf>
    <xf numFmtId="164" fontId="0" fillId="0" borderId="0" xfId="0" applyNumberFormat="1"/>
    <xf numFmtId="164" fontId="4" fillId="0" borderId="0" xfId="0" applyNumberFormat="1" applyFont="1"/>
    <xf numFmtId="0" fontId="27" fillId="0" borderId="0" xfId="0" applyFont="1" applyFill="1"/>
    <xf numFmtId="0" fontId="4" fillId="0" borderId="47" xfId="0" applyFont="1" applyBorder="1"/>
    <xf numFmtId="0" fontId="30" fillId="6" borderId="0" xfId="1"/>
    <xf numFmtId="0" fontId="3" fillId="7" borderId="0" xfId="0" applyFont="1" applyFill="1" applyBorder="1" applyAlignment="1">
      <alignment horizontal="right"/>
    </xf>
    <xf numFmtId="0" fontId="0" fillId="7" borderId="0" xfId="0" applyFill="1" applyBorder="1"/>
    <xf numFmtId="0" fontId="31" fillId="0" borderId="0" xfId="0" applyFont="1"/>
    <xf numFmtId="0" fontId="11" fillId="0" borderId="0" xfId="0" applyFont="1" applyAlignment="1" applyProtection="1">
      <alignment vertical="top" wrapText="1"/>
    </xf>
    <xf numFmtId="0" fontId="0" fillId="0" borderId="0" xfId="0" applyAlignment="1" applyProtection="1">
      <alignment vertical="top"/>
    </xf>
    <xf numFmtId="2" fontId="11" fillId="0" borderId="0" xfId="0" applyNumberFormat="1" applyFont="1" applyAlignment="1" applyProtection="1">
      <alignment vertical="top" wrapText="1"/>
    </xf>
    <xf numFmtId="0" fontId="0" fillId="0" borderId="0" xfId="0" applyAlignment="1" applyProtection="1">
      <alignment vertical="top" wrapText="1"/>
    </xf>
    <xf numFmtId="0" fontId="4" fillId="0" borderId="0" xfId="0" applyFont="1" applyAlignment="1" applyProtection="1">
      <alignment wrapText="1"/>
    </xf>
    <xf numFmtId="0" fontId="0" fillId="0" borderId="0" xfId="0" applyAlignment="1" applyProtection="1">
      <alignment wrapText="1"/>
    </xf>
    <xf numFmtId="0" fontId="0" fillId="0" borderId="0" xfId="0" applyAlignment="1" applyProtection="1"/>
    <xf numFmtId="0" fontId="0" fillId="5" borderId="71" xfId="0" applyFill="1" applyBorder="1" applyAlignment="1" applyProtection="1">
      <protection locked="0"/>
    </xf>
    <xf numFmtId="0" fontId="0" fillId="5" borderId="0" xfId="0" applyFill="1" applyAlignment="1" applyProtection="1">
      <protection locked="0"/>
    </xf>
    <xf numFmtId="0" fontId="1" fillId="0" borderId="71" xfId="0" applyFont="1" applyFill="1" applyBorder="1" applyAlignment="1" applyProtection="1">
      <alignment horizontal="center" vertical="center" textRotation="90"/>
    </xf>
    <xf numFmtId="0" fontId="1" fillId="0" borderId="0" xfId="0" applyFont="1" applyAlignment="1">
      <alignment horizontal="center" vertical="center" textRotation="90"/>
    </xf>
    <xf numFmtId="0" fontId="11" fillId="0" borderId="72" xfId="0" applyFont="1" applyBorder="1" applyAlignment="1" applyProtection="1">
      <alignment horizontal="center" vertical="center" wrapText="1"/>
    </xf>
    <xf numFmtId="0" fontId="13" fillId="0" borderId="73" xfId="0" applyFont="1" applyBorder="1" applyAlignment="1" applyProtection="1">
      <alignment horizontal="center" vertical="center" wrapText="1"/>
    </xf>
    <xf numFmtId="0" fontId="12" fillId="0" borderId="0" xfId="0" applyFont="1" applyAlignment="1" applyProtection="1">
      <alignment vertical="top" wrapText="1"/>
    </xf>
    <xf numFmtId="0" fontId="4" fillId="0" borderId="0" xfId="0" applyFont="1" applyAlignment="1" applyProtection="1">
      <alignment vertical="top" wrapText="1"/>
    </xf>
    <xf numFmtId="0" fontId="4" fillId="0" borderId="0" xfId="0" applyFont="1" applyAlignment="1" applyProtection="1">
      <alignment vertical="top"/>
    </xf>
    <xf numFmtId="0" fontId="13" fillId="0" borderId="0" xfId="0" applyFont="1" applyAlignment="1" applyProtection="1">
      <alignment wrapText="1"/>
    </xf>
    <xf numFmtId="0" fontId="13" fillId="0" borderId="0" xfId="0" applyFont="1" applyAlignment="1" applyProtection="1"/>
  </cellXfs>
  <cellStyles count="2">
    <cellStyle name="Good" xfId="1" builtinId="2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sheetPr codeName="Sheet1"/>
  <dimension ref="A1:G15"/>
  <sheetViews>
    <sheetView workbookViewId="0">
      <selection activeCell="B3" sqref="B3:D10"/>
    </sheetView>
  </sheetViews>
  <sheetFormatPr defaultColWidth="9.109375" defaultRowHeight="10.199999999999999"/>
  <cols>
    <col min="1" max="1" width="49.6640625" style="69" customWidth="1"/>
    <col min="2" max="2" width="6.88671875" style="69" customWidth="1"/>
    <col min="3" max="3" width="10.109375" style="70" customWidth="1"/>
    <col min="4" max="4" width="17.44140625" style="70" customWidth="1"/>
    <col min="5" max="6" width="17.44140625" style="131" hidden="1" customWidth="1"/>
    <col min="7" max="7" width="45" style="70" customWidth="1"/>
    <col min="8" max="16384" width="9.109375" style="70"/>
  </cols>
  <sheetData>
    <row r="1" spans="1:7" ht="10.8" thickBot="1">
      <c r="A1" s="153"/>
      <c r="B1" s="154"/>
      <c r="C1" s="155"/>
      <c r="D1" s="156"/>
    </row>
    <row r="2" spans="1:7" ht="76.650000000000006" customHeight="1" thickTop="1" thickBot="1">
      <c r="A2" s="157" t="s">
        <v>161</v>
      </c>
      <c r="B2" s="72" t="s">
        <v>235</v>
      </c>
      <c r="C2" s="72" t="s">
        <v>142</v>
      </c>
      <c r="D2" s="158" t="s">
        <v>13</v>
      </c>
      <c r="G2" s="185" t="s">
        <v>282</v>
      </c>
    </row>
    <row r="3" spans="1:7" s="75" customFormat="1" ht="24.9" customHeight="1">
      <c r="A3" s="159" t="s">
        <v>5</v>
      </c>
      <c r="B3" s="38"/>
      <c r="C3" s="34"/>
      <c r="D3" s="66"/>
      <c r="E3" s="132">
        <f>(D3*5)/100</f>
        <v>0</v>
      </c>
      <c r="F3" s="132">
        <f>B3*(D3/100)</f>
        <v>0</v>
      </c>
      <c r="G3" s="186"/>
    </row>
    <row r="4" spans="1:7" s="75" customFormat="1" ht="24.9" customHeight="1">
      <c r="A4" s="160" t="s">
        <v>143</v>
      </c>
      <c r="B4" s="35"/>
      <c r="C4" s="36"/>
      <c r="D4" s="67"/>
      <c r="E4" s="132">
        <f t="shared" ref="E4:E10" si="0">(D4*5)/100</f>
        <v>0</v>
      </c>
      <c r="F4" s="132">
        <f t="shared" ref="F4:F10" si="1">B4*(D4/100)</f>
        <v>0</v>
      </c>
      <c r="G4" s="186"/>
    </row>
    <row r="5" spans="1:7" s="75" customFormat="1" ht="24.9" customHeight="1">
      <c r="A5" s="160" t="s">
        <v>0</v>
      </c>
      <c r="B5" s="35"/>
      <c r="C5" s="36"/>
      <c r="D5" s="67"/>
      <c r="E5" s="132">
        <f t="shared" si="0"/>
        <v>0</v>
      </c>
      <c r="F5" s="132">
        <f t="shared" si="1"/>
        <v>0</v>
      </c>
      <c r="G5" s="186"/>
    </row>
    <row r="6" spans="1:7" s="75" customFormat="1" ht="24.9" customHeight="1">
      <c r="A6" s="160" t="s">
        <v>144</v>
      </c>
      <c r="B6" s="35"/>
      <c r="C6" s="36"/>
      <c r="D6" s="67"/>
      <c r="E6" s="132">
        <f t="shared" si="0"/>
        <v>0</v>
      </c>
      <c r="F6" s="132">
        <f t="shared" si="1"/>
        <v>0</v>
      </c>
      <c r="G6" s="186"/>
    </row>
    <row r="7" spans="1:7" s="75" customFormat="1" ht="12.6" customHeight="1">
      <c r="A7" s="160" t="s">
        <v>1</v>
      </c>
      <c r="B7" s="35"/>
      <c r="C7" s="36"/>
      <c r="D7" s="67"/>
      <c r="E7" s="132">
        <f t="shared" si="0"/>
        <v>0</v>
      </c>
      <c r="F7" s="132">
        <f t="shared" si="1"/>
        <v>0</v>
      </c>
      <c r="G7" s="186"/>
    </row>
    <row r="8" spans="1:7" s="75" customFormat="1" ht="24.9" customHeight="1">
      <c r="A8" s="160" t="s">
        <v>145</v>
      </c>
      <c r="B8" s="35"/>
      <c r="C8" s="36"/>
      <c r="D8" s="67"/>
      <c r="E8" s="132">
        <f t="shared" si="0"/>
        <v>0</v>
      </c>
      <c r="F8" s="132">
        <f t="shared" si="1"/>
        <v>0</v>
      </c>
      <c r="G8" s="186"/>
    </row>
    <row r="9" spans="1:7" s="75" customFormat="1" ht="24.9" customHeight="1">
      <c r="A9" s="160" t="s">
        <v>236</v>
      </c>
      <c r="B9" s="35"/>
      <c r="C9" s="36"/>
      <c r="D9" s="67"/>
      <c r="E9" s="132">
        <f t="shared" si="0"/>
        <v>0</v>
      </c>
      <c r="F9" s="132">
        <f t="shared" si="1"/>
        <v>0</v>
      </c>
      <c r="G9" s="186"/>
    </row>
    <row r="10" spans="1:7" s="75" customFormat="1" ht="24.9" customHeight="1">
      <c r="A10" s="160" t="s">
        <v>237</v>
      </c>
      <c r="B10" s="35"/>
      <c r="C10" s="36"/>
      <c r="D10" s="67"/>
      <c r="E10" s="132">
        <f t="shared" si="0"/>
        <v>0</v>
      </c>
      <c r="F10" s="132">
        <f t="shared" si="1"/>
        <v>0</v>
      </c>
      <c r="G10" s="186"/>
    </row>
    <row r="11" spans="1:7" ht="12.6" customHeight="1" thickBot="1">
      <c r="A11" s="161"/>
      <c r="B11" s="187"/>
      <c r="C11" s="188"/>
      <c r="D11" s="189"/>
      <c r="E11" s="131">
        <f>SUM(E3:E10)</f>
        <v>0</v>
      </c>
      <c r="F11" s="131">
        <f>SUM(F3:F10)</f>
        <v>0</v>
      </c>
    </row>
    <row r="12" spans="1:7" ht="15.75" customHeight="1" thickTop="1" thickBot="1">
      <c r="A12" s="161" t="s">
        <v>159</v>
      </c>
      <c r="B12" s="78"/>
      <c r="C12" s="79"/>
      <c r="D12" s="162" t="e">
        <f>(F11/E11)*100</f>
        <v>#DIV/0!</v>
      </c>
    </row>
    <row r="13" spans="1:7" ht="12.6" customHeight="1" thickTop="1" thickBot="1">
      <c r="A13" s="163"/>
      <c r="B13" s="164"/>
      <c r="C13" s="165"/>
      <c r="D13" s="166"/>
    </row>
    <row r="14" spans="1:7" ht="111.75" customHeight="1">
      <c r="A14" s="80" t="s">
        <v>251</v>
      </c>
      <c r="B14" s="215" t="s">
        <v>254</v>
      </c>
      <c r="C14" s="216"/>
      <c r="D14" s="216"/>
      <c r="E14" s="133"/>
      <c r="F14" s="133"/>
    </row>
    <row r="15" spans="1:7" ht="46.2">
      <c r="A15" s="82" t="s">
        <v>252</v>
      </c>
      <c r="B15" s="217" t="s">
        <v>253</v>
      </c>
      <c r="C15" s="218"/>
      <c r="D15" s="218"/>
    </row>
  </sheetData>
  <sheetProtection password="D047" sheet="1" formatCells="0"/>
  <mergeCells count="2">
    <mergeCell ref="B14:D14"/>
    <mergeCell ref="B15:D15"/>
  </mergeCells>
  <phoneticPr fontId="0" type="noConversion"/>
  <printOptions gridLines="1"/>
  <pageMargins left="0.75" right="0.75" top="1" bottom="1" header="0.5" footer="0.5"/>
  <pageSetup paperSize="9" orientation="landscape" r:id="rId1"/>
  <headerFooter alignWithMargins="0"/>
  <customProperties>
    <customPr name="DVSECTIONID" r:id="rId2"/>
  </customProperties>
</worksheet>
</file>

<file path=xl/worksheets/sheet10.xml><?xml version="1.0" encoding="utf-8"?>
<worksheet xmlns="http://schemas.openxmlformats.org/spreadsheetml/2006/main" xmlns:r="http://schemas.openxmlformats.org/officeDocument/2006/relationships">
  <sheetPr codeName="Sheet10"/>
  <dimension ref="A1:IV40"/>
  <sheetViews>
    <sheetView workbookViewId="0">
      <selection activeCell="CM40" sqref="CM40"/>
    </sheetView>
  </sheetViews>
  <sheetFormatPr defaultRowHeight="13.2"/>
  <sheetData>
    <row r="1" spans="1:256">
      <c r="A1" t="e">
        <f>IF(EC!1:1,"AAAAAHef/gA=",0)</f>
        <v>#VALUE!</v>
      </c>
      <c r="B1" t="e">
        <f>AND(EC!A1,"AAAAAHef/gE=")</f>
        <v>#VALUE!</v>
      </c>
      <c r="C1" t="e">
        <f>AND(EC!B1,"AAAAAHef/gI=")</f>
        <v>#VALUE!</v>
      </c>
      <c r="D1" t="e">
        <f>AND(EC!C1,"AAAAAHef/gM=")</f>
        <v>#VALUE!</v>
      </c>
      <c r="E1" t="e">
        <f>AND(EC!D1,"AAAAAHef/gQ=")</f>
        <v>#VALUE!</v>
      </c>
      <c r="F1" t="e">
        <f>AND(EC!E1,"AAAAAHef/gU=")</f>
        <v>#VALUE!</v>
      </c>
      <c r="G1" t="e">
        <f>AND(EC!F1,"AAAAAHef/gY=")</f>
        <v>#VALUE!</v>
      </c>
      <c r="H1" t="e">
        <f>AND(EC!G1,"AAAAAHef/gc=")</f>
        <v>#VALUE!</v>
      </c>
      <c r="I1" t="e">
        <f>AND(EC!H1,"AAAAAHef/gg=")</f>
        <v>#VALUE!</v>
      </c>
      <c r="J1">
        <f>IF(EC!2:2,"AAAAAHef/gk=",0)</f>
        <v>0</v>
      </c>
      <c r="K1" t="e">
        <f>AND(EC!A2,"AAAAAHef/go=")</f>
        <v>#VALUE!</v>
      </c>
      <c r="L1" t="e">
        <f>AND(EC!B2,"AAAAAHef/gs=")</f>
        <v>#VALUE!</v>
      </c>
      <c r="M1" t="e">
        <f>AND(EC!C2,"AAAAAHef/gw=")</f>
        <v>#VALUE!</v>
      </c>
      <c r="N1" t="e">
        <f>AND(EC!D2,"AAAAAHef/g0=")</f>
        <v>#VALUE!</v>
      </c>
      <c r="O1" t="e">
        <f>AND(EC!E2,"AAAAAHef/g4=")</f>
        <v>#VALUE!</v>
      </c>
      <c r="P1" t="e">
        <f>AND(EC!F2,"AAAAAHef/g8=")</f>
        <v>#VALUE!</v>
      </c>
      <c r="Q1" t="e">
        <f>AND(EC!G2,"AAAAAHef/hA=")</f>
        <v>#VALUE!</v>
      </c>
      <c r="R1" t="e">
        <f>AND(EC!H2,"AAAAAHef/hE=")</f>
        <v>#VALUE!</v>
      </c>
      <c r="S1">
        <f>IF(EC!3:3,"AAAAAHef/hI=",0)</f>
        <v>0</v>
      </c>
      <c r="T1" t="e">
        <f>AND(EC!A3,"AAAAAHef/hM=")</f>
        <v>#VALUE!</v>
      </c>
      <c r="U1" t="e">
        <f>AND(EC!B3,"AAAAAHef/hQ=")</f>
        <v>#VALUE!</v>
      </c>
      <c r="V1" t="e">
        <f>AND(EC!C3,"AAAAAHef/hU=")</f>
        <v>#VALUE!</v>
      </c>
      <c r="W1" t="e">
        <f>AND(EC!D3,"AAAAAHef/hY=")</f>
        <v>#VALUE!</v>
      </c>
      <c r="X1" t="e">
        <f>AND(EC!E3,"AAAAAHef/hc=")</f>
        <v>#VALUE!</v>
      </c>
      <c r="Y1" t="e">
        <f>AND(EC!F3,"AAAAAHef/hg=")</f>
        <v>#VALUE!</v>
      </c>
      <c r="Z1" t="e">
        <f>AND(EC!G3,"AAAAAHef/hk=")</f>
        <v>#VALUE!</v>
      </c>
      <c r="AA1" t="e">
        <f>AND(EC!H3,"AAAAAHef/ho=")</f>
        <v>#VALUE!</v>
      </c>
      <c r="AB1">
        <f>IF(EC!4:4,"AAAAAHef/hs=",0)</f>
        <v>0</v>
      </c>
      <c r="AC1" t="e">
        <f>AND(EC!A4,"AAAAAHef/hw=")</f>
        <v>#VALUE!</v>
      </c>
      <c r="AD1" t="e">
        <f>AND(EC!B4,"AAAAAHef/h0=")</f>
        <v>#VALUE!</v>
      </c>
      <c r="AE1" t="e">
        <f>AND(EC!C4,"AAAAAHef/h4=")</f>
        <v>#VALUE!</v>
      </c>
      <c r="AF1" t="e">
        <f>AND(EC!D4,"AAAAAHef/h8=")</f>
        <v>#VALUE!</v>
      </c>
      <c r="AG1" t="e">
        <f>AND(EC!E4,"AAAAAHef/iA=")</f>
        <v>#VALUE!</v>
      </c>
      <c r="AH1" t="e">
        <f>AND(EC!F4,"AAAAAHef/iE=")</f>
        <v>#VALUE!</v>
      </c>
      <c r="AI1" t="e">
        <f>AND(EC!G4,"AAAAAHef/iI=")</f>
        <v>#VALUE!</v>
      </c>
      <c r="AJ1" t="e">
        <f>AND(EC!H4,"AAAAAHef/iM=")</f>
        <v>#VALUE!</v>
      </c>
      <c r="AK1">
        <f>IF(EC!5:5,"AAAAAHef/iQ=",0)</f>
        <v>0</v>
      </c>
      <c r="AL1" t="e">
        <f>AND(EC!A5,"AAAAAHef/iU=")</f>
        <v>#VALUE!</v>
      </c>
      <c r="AM1" t="e">
        <f>AND(EC!B5,"AAAAAHef/iY=")</f>
        <v>#VALUE!</v>
      </c>
      <c r="AN1" t="e">
        <f>AND(EC!C5,"AAAAAHef/ic=")</f>
        <v>#VALUE!</v>
      </c>
      <c r="AO1" t="e">
        <f>AND(EC!D5,"AAAAAHef/ig=")</f>
        <v>#VALUE!</v>
      </c>
      <c r="AP1" t="e">
        <f>AND(EC!E5,"AAAAAHef/ik=")</f>
        <v>#VALUE!</v>
      </c>
      <c r="AQ1" t="e">
        <f>AND(EC!F5,"AAAAAHef/io=")</f>
        <v>#VALUE!</v>
      </c>
      <c r="AR1" t="e">
        <f>AND(EC!G5,"AAAAAHef/is=")</f>
        <v>#VALUE!</v>
      </c>
      <c r="AS1" t="e">
        <f>AND(EC!H5,"AAAAAHef/iw=")</f>
        <v>#VALUE!</v>
      </c>
      <c r="AT1">
        <f>IF(EC!6:6,"AAAAAHef/i0=",0)</f>
        <v>0</v>
      </c>
      <c r="AU1" t="e">
        <f>AND(EC!A6,"AAAAAHef/i4=")</f>
        <v>#VALUE!</v>
      </c>
      <c r="AV1" t="e">
        <f>AND(EC!B6,"AAAAAHef/i8=")</f>
        <v>#VALUE!</v>
      </c>
      <c r="AW1" t="e">
        <f>AND(EC!C6,"AAAAAHef/jA=")</f>
        <v>#VALUE!</v>
      </c>
      <c r="AX1" t="e">
        <f>AND(EC!D6,"AAAAAHef/jE=")</f>
        <v>#VALUE!</v>
      </c>
      <c r="AY1" t="e">
        <f>AND(EC!E6,"AAAAAHef/jI=")</f>
        <v>#VALUE!</v>
      </c>
      <c r="AZ1" t="e">
        <f>AND(EC!F6,"AAAAAHef/jM=")</f>
        <v>#VALUE!</v>
      </c>
      <c r="BA1" t="e">
        <f>AND(EC!G6,"AAAAAHef/jQ=")</f>
        <v>#VALUE!</v>
      </c>
      <c r="BB1" t="e">
        <f>AND(EC!H6,"AAAAAHef/jU=")</f>
        <v>#VALUE!</v>
      </c>
      <c r="BC1">
        <f>IF(EC!7:7,"AAAAAHef/jY=",0)</f>
        <v>0</v>
      </c>
      <c r="BD1" t="e">
        <f>AND(EC!A7,"AAAAAHef/jc=")</f>
        <v>#VALUE!</v>
      </c>
      <c r="BE1" t="e">
        <f>AND(EC!B7,"AAAAAHef/jg=")</f>
        <v>#VALUE!</v>
      </c>
      <c r="BF1" t="e">
        <f>AND(EC!C7,"AAAAAHef/jk=")</f>
        <v>#VALUE!</v>
      </c>
      <c r="BG1" t="e">
        <f>AND(EC!D7,"AAAAAHef/jo=")</f>
        <v>#VALUE!</v>
      </c>
      <c r="BH1" t="e">
        <f>AND(EC!E7,"AAAAAHef/js=")</f>
        <v>#VALUE!</v>
      </c>
      <c r="BI1" t="e">
        <f>AND(EC!F7,"AAAAAHef/jw=")</f>
        <v>#VALUE!</v>
      </c>
      <c r="BJ1" t="e">
        <f>AND(EC!G7,"AAAAAHef/j0=")</f>
        <v>#VALUE!</v>
      </c>
      <c r="BK1" t="e">
        <f>AND(EC!H7,"AAAAAHef/j4=")</f>
        <v>#VALUE!</v>
      </c>
      <c r="BL1">
        <f>IF(EC!8:8,"AAAAAHef/j8=",0)</f>
        <v>0</v>
      </c>
      <c r="BM1" t="e">
        <f>AND(EC!A8,"AAAAAHef/kA=")</f>
        <v>#VALUE!</v>
      </c>
      <c r="BN1" t="e">
        <f>AND(EC!B8,"AAAAAHef/kE=")</f>
        <v>#VALUE!</v>
      </c>
      <c r="BO1" t="e">
        <f>AND(EC!C8,"AAAAAHef/kI=")</f>
        <v>#VALUE!</v>
      </c>
      <c r="BP1" t="e">
        <f>AND(EC!D8,"AAAAAHef/kM=")</f>
        <v>#VALUE!</v>
      </c>
      <c r="BQ1" t="e">
        <f>AND(EC!E8,"AAAAAHef/kQ=")</f>
        <v>#VALUE!</v>
      </c>
      <c r="BR1" t="e">
        <f>AND(EC!F8,"AAAAAHef/kU=")</f>
        <v>#VALUE!</v>
      </c>
      <c r="BS1" t="e">
        <f>AND(EC!G8,"AAAAAHef/kY=")</f>
        <v>#VALUE!</v>
      </c>
      <c r="BT1" t="e">
        <f>AND(EC!H8,"AAAAAHef/kc=")</f>
        <v>#VALUE!</v>
      </c>
      <c r="BU1">
        <f>IF(EC!9:9,"AAAAAHef/kg=",0)</f>
        <v>0</v>
      </c>
      <c r="BV1" t="e">
        <f>AND(EC!A9,"AAAAAHef/kk=")</f>
        <v>#VALUE!</v>
      </c>
      <c r="BW1" t="e">
        <f>AND(EC!B9,"AAAAAHef/ko=")</f>
        <v>#VALUE!</v>
      </c>
      <c r="BX1" t="e">
        <f>AND(EC!C9,"AAAAAHef/ks=")</f>
        <v>#VALUE!</v>
      </c>
      <c r="BY1" t="e">
        <f>AND(EC!D9,"AAAAAHef/kw=")</f>
        <v>#VALUE!</v>
      </c>
      <c r="BZ1" t="e">
        <f>AND(EC!E9,"AAAAAHef/k0=")</f>
        <v>#VALUE!</v>
      </c>
      <c r="CA1" t="e">
        <f>AND(EC!F9,"AAAAAHef/k4=")</f>
        <v>#VALUE!</v>
      </c>
      <c r="CB1" t="e">
        <f>AND(EC!G9,"AAAAAHef/k8=")</f>
        <v>#VALUE!</v>
      </c>
      <c r="CC1" t="e">
        <f>AND(EC!H9,"AAAAAHef/lA=")</f>
        <v>#VALUE!</v>
      </c>
      <c r="CD1">
        <f>IF(EC!10:10,"AAAAAHef/lE=",0)</f>
        <v>0</v>
      </c>
      <c r="CE1" t="e">
        <f>AND(EC!A10,"AAAAAHef/lI=")</f>
        <v>#VALUE!</v>
      </c>
      <c r="CF1" t="e">
        <f>AND(EC!B10,"AAAAAHef/lM=")</f>
        <v>#VALUE!</v>
      </c>
      <c r="CG1" t="e">
        <f>AND(EC!C10,"AAAAAHef/lQ=")</f>
        <v>#VALUE!</v>
      </c>
      <c r="CH1" t="e">
        <f>AND(EC!D10,"AAAAAHef/lU=")</f>
        <v>#VALUE!</v>
      </c>
      <c r="CI1" t="e">
        <f>AND(EC!E10,"AAAAAHef/lY=")</f>
        <v>#VALUE!</v>
      </c>
      <c r="CJ1" t="e">
        <f>AND(EC!F10,"AAAAAHef/lc=")</f>
        <v>#VALUE!</v>
      </c>
      <c r="CK1" t="e">
        <f>AND(EC!G10,"AAAAAHef/lg=")</f>
        <v>#VALUE!</v>
      </c>
      <c r="CL1" t="e">
        <f>AND(EC!H10,"AAAAAHef/lk=")</f>
        <v>#VALUE!</v>
      </c>
      <c r="CM1">
        <f>IF(EC!11:11,"AAAAAHef/lo=",0)</f>
        <v>0</v>
      </c>
      <c r="CN1" t="e">
        <f>AND(EC!A11,"AAAAAHef/ls=")</f>
        <v>#VALUE!</v>
      </c>
      <c r="CO1" t="e">
        <f>AND(EC!B11,"AAAAAHef/lw=")</f>
        <v>#VALUE!</v>
      </c>
      <c r="CP1" t="e">
        <f>AND(EC!C11,"AAAAAHef/l0=")</f>
        <v>#VALUE!</v>
      </c>
      <c r="CQ1" t="e">
        <f>AND(EC!D11,"AAAAAHef/l4=")</f>
        <v>#VALUE!</v>
      </c>
      <c r="CR1" t="e">
        <f>AND(EC!E11,"AAAAAHef/l8=")</f>
        <v>#VALUE!</v>
      </c>
      <c r="CS1" t="e">
        <f>AND(EC!F11,"AAAAAHef/mA=")</f>
        <v>#VALUE!</v>
      </c>
      <c r="CT1" t="e">
        <f>AND(EC!G11,"AAAAAHef/mE=")</f>
        <v>#VALUE!</v>
      </c>
      <c r="CU1" t="e">
        <f>AND(EC!H11,"AAAAAHef/mI=")</f>
        <v>#VALUE!</v>
      </c>
      <c r="CV1">
        <f>IF(EC!12:12,"AAAAAHef/mM=",0)</f>
        <v>0</v>
      </c>
      <c r="CW1" t="e">
        <f>AND(EC!A12,"AAAAAHef/mQ=")</f>
        <v>#VALUE!</v>
      </c>
      <c r="CX1" t="e">
        <f>AND(EC!B12,"AAAAAHef/mU=")</f>
        <v>#VALUE!</v>
      </c>
      <c r="CY1" t="e">
        <f>AND(EC!C12,"AAAAAHef/mY=")</f>
        <v>#VALUE!</v>
      </c>
      <c r="CZ1" t="e">
        <f>AND(EC!D12,"AAAAAHef/mc=")</f>
        <v>#VALUE!</v>
      </c>
      <c r="DA1" t="e">
        <f>AND(EC!E12,"AAAAAHef/mg=")</f>
        <v>#VALUE!</v>
      </c>
      <c r="DB1" t="e">
        <f>AND(EC!F12,"AAAAAHef/mk=")</f>
        <v>#VALUE!</v>
      </c>
      <c r="DC1" t="e">
        <f>AND(EC!G12,"AAAAAHef/mo=")</f>
        <v>#VALUE!</v>
      </c>
      <c r="DD1" t="e">
        <f>AND(EC!H12,"AAAAAHef/ms=")</f>
        <v>#VALUE!</v>
      </c>
      <c r="DE1">
        <f>IF(EC!13:13,"AAAAAHef/mw=",0)</f>
        <v>0</v>
      </c>
      <c r="DF1" t="e">
        <f>AND(EC!A13,"AAAAAHef/m0=")</f>
        <v>#VALUE!</v>
      </c>
      <c r="DG1" t="e">
        <f>AND(EC!B13,"AAAAAHef/m4=")</f>
        <v>#VALUE!</v>
      </c>
      <c r="DH1" t="e">
        <f>AND(EC!C13,"AAAAAHef/m8=")</f>
        <v>#VALUE!</v>
      </c>
      <c r="DI1" t="e">
        <f>AND(EC!D13,"AAAAAHef/nA=")</f>
        <v>#VALUE!</v>
      </c>
      <c r="DJ1" t="e">
        <f>AND(EC!E13,"AAAAAHef/nE=")</f>
        <v>#VALUE!</v>
      </c>
      <c r="DK1" t="e">
        <f>AND(EC!F13,"AAAAAHef/nI=")</f>
        <v>#VALUE!</v>
      </c>
      <c r="DL1" t="e">
        <f>AND(EC!G13,"AAAAAHef/nM=")</f>
        <v>#VALUE!</v>
      </c>
      <c r="DM1" t="e">
        <f>AND(EC!H13,"AAAAAHef/nQ=")</f>
        <v>#VALUE!</v>
      </c>
      <c r="DN1">
        <f>IF(EC!14:14,"AAAAAHef/nU=",0)</f>
        <v>0</v>
      </c>
      <c r="DO1" t="e">
        <f>AND(EC!A14,"AAAAAHef/nY=")</f>
        <v>#VALUE!</v>
      </c>
      <c r="DP1" t="e">
        <f>AND(EC!B14,"AAAAAHef/nc=")</f>
        <v>#VALUE!</v>
      </c>
      <c r="DQ1" t="e">
        <f>AND(EC!C14,"AAAAAHef/ng=")</f>
        <v>#VALUE!</v>
      </c>
      <c r="DR1" t="e">
        <f>AND(EC!D14,"AAAAAHef/nk=")</f>
        <v>#VALUE!</v>
      </c>
      <c r="DS1" t="e">
        <f>AND(EC!E14,"AAAAAHef/no=")</f>
        <v>#VALUE!</v>
      </c>
      <c r="DT1" t="e">
        <f>AND(EC!F14,"AAAAAHef/ns=")</f>
        <v>#VALUE!</v>
      </c>
      <c r="DU1" t="e">
        <f>AND(EC!G14,"AAAAAHef/nw=")</f>
        <v>#VALUE!</v>
      </c>
      <c r="DV1" t="e">
        <f>AND(EC!H14,"AAAAAHef/n0=")</f>
        <v>#VALUE!</v>
      </c>
      <c r="DW1">
        <f>IF(EC!15:15,"AAAAAHef/n4=",0)</f>
        <v>0</v>
      </c>
      <c r="DX1" t="e">
        <f>AND(EC!A15,"AAAAAHef/n8=")</f>
        <v>#VALUE!</v>
      </c>
      <c r="DY1" t="e">
        <f>AND(EC!B15,"AAAAAHef/oA=")</f>
        <v>#VALUE!</v>
      </c>
      <c r="DZ1" t="e">
        <f>AND(EC!C15,"AAAAAHef/oE=")</f>
        <v>#VALUE!</v>
      </c>
      <c r="EA1" t="e">
        <f>AND(EC!D15,"AAAAAHef/oI=")</f>
        <v>#VALUE!</v>
      </c>
      <c r="EB1" t="e">
        <f>AND(EC!E15,"AAAAAHef/oM=")</f>
        <v>#VALUE!</v>
      </c>
      <c r="EC1" t="e">
        <f>AND(EC!F15,"AAAAAHef/oQ=")</f>
        <v>#VALUE!</v>
      </c>
      <c r="ED1" t="e">
        <f>AND(EC!G15,"AAAAAHef/oU=")</f>
        <v>#VALUE!</v>
      </c>
      <c r="EE1" t="e">
        <f>AND(EC!H15,"AAAAAHef/oY=")</f>
        <v>#VALUE!</v>
      </c>
      <c r="EF1">
        <f>IF(EC!16:16,"AAAAAHef/oc=",0)</f>
        <v>0</v>
      </c>
      <c r="EG1" t="e">
        <f>AND(EC!A16,"AAAAAHef/og=")</f>
        <v>#VALUE!</v>
      </c>
      <c r="EH1" t="e">
        <f>AND(EC!B16,"AAAAAHef/ok=")</f>
        <v>#VALUE!</v>
      </c>
      <c r="EI1" t="e">
        <f>AND(EC!C16,"AAAAAHef/oo=")</f>
        <v>#VALUE!</v>
      </c>
      <c r="EJ1" t="e">
        <f>AND(EC!D16,"AAAAAHef/os=")</f>
        <v>#VALUE!</v>
      </c>
      <c r="EK1" t="e">
        <f>AND(EC!E16,"AAAAAHef/ow=")</f>
        <v>#VALUE!</v>
      </c>
      <c r="EL1" t="e">
        <f>AND(EC!F16,"AAAAAHef/o0=")</f>
        <v>#VALUE!</v>
      </c>
      <c r="EM1" t="e">
        <f>AND(EC!G16,"AAAAAHef/o4=")</f>
        <v>#VALUE!</v>
      </c>
      <c r="EN1" t="e">
        <f>AND(EC!H16,"AAAAAHef/o8=")</f>
        <v>#VALUE!</v>
      </c>
      <c r="EO1">
        <f>IF(EC!17:17,"AAAAAHef/pA=",0)</f>
        <v>0</v>
      </c>
      <c r="EP1" t="e">
        <f>AND(EC!A17,"AAAAAHef/pE=")</f>
        <v>#VALUE!</v>
      </c>
      <c r="EQ1" t="e">
        <f>AND(EC!B17,"AAAAAHef/pI=")</f>
        <v>#VALUE!</v>
      </c>
      <c r="ER1" t="e">
        <f>AND(EC!C17,"AAAAAHef/pM=")</f>
        <v>#VALUE!</v>
      </c>
      <c r="ES1" t="e">
        <f>AND(EC!D17,"AAAAAHef/pQ=")</f>
        <v>#VALUE!</v>
      </c>
      <c r="ET1" t="e">
        <f>AND(EC!E17,"AAAAAHef/pU=")</f>
        <v>#VALUE!</v>
      </c>
      <c r="EU1" t="e">
        <f>AND(EC!F17,"AAAAAHef/pY=")</f>
        <v>#VALUE!</v>
      </c>
      <c r="EV1" t="e">
        <f>AND(EC!G17,"AAAAAHef/pc=")</f>
        <v>#VALUE!</v>
      </c>
      <c r="EW1" t="e">
        <f>AND(EC!H17,"AAAAAHef/pg=")</f>
        <v>#VALUE!</v>
      </c>
      <c r="EX1">
        <f>IF(EC!18:18,"AAAAAHef/pk=",0)</f>
        <v>0</v>
      </c>
      <c r="EY1" t="e">
        <f>AND(EC!A18,"AAAAAHef/po=")</f>
        <v>#VALUE!</v>
      </c>
      <c r="EZ1" t="e">
        <f>AND(EC!B18,"AAAAAHef/ps=")</f>
        <v>#VALUE!</v>
      </c>
      <c r="FA1" t="e">
        <f>AND(EC!C18,"AAAAAHef/pw=")</f>
        <v>#VALUE!</v>
      </c>
      <c r="FB1" t="e">
        <f>AND(EC!D18,"AAAAAHef/p0=")</f>
        <v>#VALUE!</v>
      </c>
      <c r="FC1" t="e">
        <f>AND(EC!E18,"AAAAAHef/p4=")</f>
        <v>#VALUE!</v>
      </c>
      <c r="FD1" t="e">
        <f>AND(EC!F18,"AAAAAHef/p8=")</f>
        <v>#VALUE!</v>
      </c>
      <c r="FE1" t="e">
        <f>AND(EC!G18,"AAAAAHef/qA=")</f>
        <v>#VALUE!</v>
      </c>
      <c r="FF1" t="e">
        <f>AND(EC!H18,"AAAAAHef/qE=")</f>
        <v>#VALUE!</v>
      </c>
      <c r="FG1">
        <f>IF(EC!19:19,"AAAAAHef/qI=",0)</f>
        <v>0</v>
      </c>
      <c r="FH1" t="e">
        <f>AND(EC!A19,"AAAAAHef/qM=")</f>
        <v>#VALUE!</v>
      </c>
      <c r="FI1" t="e">
        <f>AND(EC!B19,"AAAAAHef/qQ=")</f>
        <v>#VALUE!</v>
      </c>
      <c r="FJ1" t="e">
        <f>AND(EC!C19,"AAAAAHef/qU=")</f>
        <v>#VALUE!</v>
      </c>
      <c r="FK1" t="e">
        <f>AND(EC!D19,"AAAAAHef/qY=")</f>
        <v>#VALUE!</v>
      </c>
      <c r="FL1" t="e">
        <f>AND(EC!E19,"AAAAAHef/qc=")</f>
        <v>#VALUE!</v>
      </c>
      <c r="FM1" t="e">
        <f>AND(EC!F19,"AAAAAHef/qg=")</f>
        <v>#VALUE!</v>
      </c>
      <c r="FN1" t="e">
        <f>AND(EC!G19,"AAAAAHef/qk=")</f>
        <v>#VALUE!</v>
      </c>
      <c r="FO1" t="e">
        <f>AND(EC!H19,"AAAAAHef/qo=")</f>
        <v>#VALUE!</v>
      </c>
      <c r="FP1">
        <f>IF(EC!20:20,"AAAAAHef/qs=",0)</f>
        <v>0</v>
      </c>
      <c r="FQ1" t="e">
        <f>AND(EC!A20,"AAAAAHef/qw=")</f>
        <v>#VALUE!</v>
      </c>
      <c r="FR1" t="e">
        <f>AND(EC!B20,"AAAAAHef/q0=")</f>
        <v>#VALUE!</v>
      </c>
      <c r="FS1" t="e">
        <f>AND(EC!C20,"AAAAAHef/q4=")</f>
        <v>#VALUE!</v>
      </c>
      <c r="FT1" t="e">
        <f>AND(EC!D20,"AAAAAHef/q8=")</f>
        <v>#VALUE!</v>
      </c>
      <c r="FU1" t="e">
        <f>AND(EC!E20,"AAAAAHef/rA=")</f>
        <v>#VALUE!</v>
      </c>
      <c r="FV1" t="e">
        <f>AND(EC!F20,"AAAAAHef/rE=")</f>
        <v>#VALUE!</v>
      </c>
      <c r="FW1" t="e">
        <f>AND(EC!G20,"AAAAAHef/rI=")</f>
        <v>#VALUE!</v>
      </c>
      <c r="FX1" t="e">
        <f>AND(EC!H20,"AAAAAHef/rM=")</f>
        <v>#VALUE!</v>
      </c>
      <c r="FY1">
        <f>IF(EC!21:21,"AAAAAHef/rQ=",0)</f>
        <v>0</v>
      </c>
      <c r="FZ1" t="e">
        <f>AND(EC!A21,"AAAAAHef/rU=")</f>
        <v>#VALUE!</v>
      </c>
      <c r="GA1" t="e">
        <f>AND(EC!B21,"AAAAAHef/rY=")</f>
        <v>#VALUE!</v>
      </c>
      <c r="GB1" t="e">
        <f>AND(EC!C21,"AAAAAHef/rc=")</f>
        <v>#VALUE!</v>
      </c>
      <c r="GC1" t="e">
        <f>AND(EC!D21,"AAAAAHef/rg=")</f>
        <v>#VALUE!</v>
      </c>
      <c r="GD1" t="e">
        <f>AND(EC!E21,"AAAAAHef/rk=")</f>
        <v>#VALUE!</v>
      </c>
      <c r="GE1" t="e">
        <f>AND(EC!F21,"AAAAAHef/ro=")</f>
        <v>#VALUE!</v>
      </c>
      <c r="GF1" t="e">
        <f>AND(EC!G21,"AAAAAHef/rs=")</f>
        <v>#VALUE!</v>
      </c>
      <c r="GG1" t="e">
        <f>AND(EC!H21,"AAAAAHef/rw=")</f>
        <v>#VALUE!</v>
      </c>
      <c r="GH1">
        <f>IF(EC!22:22,"AAAAAHef/r0=",0)</f>
        <v>0</v>
      </c>
      <c r="GI1" t="e">
        <f>AND(EC!A22,"AAAAAHef/r4=")</f>
        <v>#VALUE!</v>
      </c>
      <c r="GJ1" t="e">
        <f>AND(EC!B22,"AAAAAHef/r8=")</f>
        <v>#VALUE!</v>
      </c>
      <c r="GK1" t="e">
        <f>AND(EC!C22,"AAAAAHef/sA=")</f>
        <v>#VALUE!</v>
      </c>
      <c r="GL1" t="e">
        <f>AND(EC!D22,"AAAAAHef/sE=")</f>
        <v>#VALUE!</v>
      </c>
      <c r="GM1" t="e">
        <f>AND(EC!E22,"AAAAAHef/sI=")</f>
        <v>#VALUE!</v>
      </c>
      <c r="GN1" t="e">
        <f>AND(EC!F22,"AAAAAHef/sM=")</f>
        <v>#VALUE!</v>
      </c>
      <c r="GO1" t="e">
        <f>AND(EC!G22,"AAAAAHef/sQ=")</f>
        <v>#VALUE!</v>
      </c>
      <c r="GP1" t="e">
        <f>AND(EC!H22,"AAAAAHef/sU=")</f>
        <v>#VALUE!</v>
      </c>
      <c r="GQ1">
        <f>IF(EC!23:23,"AAAAAHef/sY=",0)</f>
        <v>0</v>
      </c>
      <c r="GR1" t="e">
        <f>AND(EC!A23,"AAAAAHef/sc=")</f>
        <v>#VALUE!</v>
      </c>
      <c r="GS1" t="e">
        <f>AND(EC!B23,"AAAAAHef/sg=")</f>
        <v>#VALUE!</v>
      </c>
      <c r="GT1" t="e">
        <f>AND(EC!C23,"AAAAAHef/sk=")</f>
        <v>#VALUE!</v>
      </c>
      <c r="GU1" t="e">
        <f>AND(EC!D23,"AAAAAHef/so=")</f>
        <v>#VALUE!</v>
      </c>
      <c r="GV1" t="e">
        <f>AND(EC!E23,"AAAAAHef/ss=")</f>
        <v>#VALUE!</v>
      </c>
      <c r="GW1" t="e">
        <f>AND(EC!F23,"AAAAAHef/sw=")</f>
        <v>#VALUE!</v>
      </c>
      <c r="GX1" t="e">
        <f>AND(EC!G23,"AAAAAHef/s0=")</f>
        <v>#VALUE!</v>
      </c>
      <c r="GY1" t="e">
        <f>AND(EC!H23,"AAAAAHef/s4=")</f>
        <v>#VALUE!</v>
      </c>
      <c r="GZ1">
        <f>IF(EC!24:24,"AAAAAHef/s8=",0)</f>
        <v>0</v>
      </c>
      <c r="HA1" t="e">
        <f>AND(EC!A24,"AAAAAHef/tA=")</f>
        <v>#VALUE!</v>
      </c>
      <c r="HB1" t="e">
        <f>AND(EC!B24,"AAAAAHef/tE=")</f>
        <v>#VALUE!</v>
      </c>
      <c r="HC1" t="e">
        <f>AND(EC!C24,"AAAAAHef/tI=")</f>
        <v>#VALUE!</v>
      </c>
      <c r="HD1" t="e">
        <f>AND(EC!D24,"AAAAAHef/tM=")</f>
        <v>#VALUE!</v>
      </c>
      <c r="HE1" t="e">
        <f>AND(EC!E24,"AAAAAHef/tQ=")</f>
        <v>#VALUE!</v>
      </c>
      <c r="HF1" t="e">
        <f>AND(EC!F24,"AAAAAHef/tU=")</f>
        <v>#VALUE!</v>
      </c>
      <c r="HG1" t="e">
        <f>AND(EC!G24,"AAAAAHef/tY=")</f>
        <v>#VALUE!</v>
      </c>
      <c r="HH1" t="e">
        <f>AND(EC!H24,"AAAAAHef/tc=")</f>
        <v>#VALUE!</v>
      </c>
      <c r="HI1">
        <f>IF(EC!25:25,"AAAAAHef/tg=",0)</f>
        <v>0</v>
      </c>
      <c r="HJ1" t="e">
        <f>AND(EC!A25,"AAAAAHef/tk=")</f>
        <v>#VALUE!</v>
      </c>
      <c r="HK1" t="e">
        <f>AND(EC!B25,"AAAAAHef/to=")</f>
        <v>#VALUE!</v>
      </c>
      <c r="HL1" t="e">
        <f>AND(EC!C25,"AAAAAHef/ts=")</f>
        <v>#VALUE!</v>
      </c>
      <c r="HM1" t="e">
        <f>AND(EC!D25,"AAAAAHef/tw=")</f>
        <v>#VALUE!</v>
      </c>
      <c r="HN1" t="e">
        <f>AND(EC!E25,"AAAAAHef/t0=")</f>
        <v>#VALUE!</v>
      </c>
      <c r="HO1" t="e">
        <f>AND(EC!F25,"AAAAAHef/t4=")</f>
        <v>#VALUE!</v>
      </c>
      <c r="HP1" t="e">
        <f>AND(EC!G25,"AAAAAHef/t8=")</f>
        <v>#VALUE!</v>
      </c>
      <c r="HQ1" t="e">
        <f>AND(EC!H25,"AAAAAHef/uA=")</f>
        <v>#VALUE!</v>
      </c>
      <c r="HR1">
        <f>IF(EC!26:26,"AAAAAHef/uE=",0)</f>
        <v>0</v>
      </c>
      <c r="HS1" t="e">
        <f>AND(EC!A26,"AAAAAHef/uI=")</f>
        <v>#VALUE!</v>
      </c>
      <c r="HT1" t="e">
        <f>AND(EC!B26,"AAAAAHef/uM=")</f>
        <v>#VALUE!</v>
      </c>
      <c r="HU1" t="e">
        <f>AND(EC!C26,"AAAAAHef/uQ=")</f>
        <v>#VALUE!</v>
      </c>
      <c r="HV1" t="e">
        <f>AND(EC!D26,"AAAAAHef/uU=")</f>
        <v>#VALUE!</v>
      </c>
      <c r="HW1" t="e">
        <f>AND(EC!E26,"AAAAAHef/uY=")</f>
        <v>#VALUE!</v>
      </c>
      <c r="HX1" t="e">
        <f>AND(EC!F26,"AAAAAHef/uc=")</f>
        <v>#VALUE!</v>
      </c>
      <c r="HY1" t="e">
        <f>AND(EC!G26,"AAAAAHef/ug=")</f>
        <v>#VALUE!</v>
      </c>
      <c r="HZ1" t="e">
        <f>AND(EC!H26,"AAAAAHef/uk=")</f>
        <v>#VALUE!</v>
      </c>
      <c r="IA1">
        <f>IF(EC!27:27,"AAAAAHef/uo=",0)</f>
        <v>0</v>
      </c>
      <c r="IB1" t="e">
        <f>AND(EC!A27,"AAAAAHef/us=")</f>
        <v>#VALUE!</v>
      </c>
      <c r="IC1" t="e">
        <f>AND(EC!B27,"AAAAAHef/uw=")</f>
        <v>#VALUE!</v>
      </c>
      <c r="ID1" t="e">
        <f>AND(EC!C27,"AAAAAHef/u0=")</f>
        <v>#VALUE!</v>
      </c>
      <c r="IE1" t="e">
        <f>AND(EC!D27,"AAAAAHef/u4=")</f>
        <v>#VALUE!</v>
      </c>
      <c r="IF1" t="e">
        <f>AND(EC!E27,"AAAAAHef/u8=")</f>
        <v>#VALUE!</v>
      </c>
      <c r="IG1" t="e">
        <f>AND(EC!F27,"AAAAAHef/vA=")</f>
        <v>#VALUE!</v>
      </c>
      <c r="IH1" t="e">
        <f>AND(EC!G27,"AAAAAHef/vE=")</f>
        <v>#VALUE!</v>
      </c>
      <c r="II1" t="e">
        <f>AND(EC!H27,"AAAAAHef/vI=")</f>
        <v>#VALUE!</v>
      </c>
      <c r="IJ1">
        <f>IF(EC!28:28,"AAAAAHef/vM=",0)</f>
        <v>0</v>
      </c>
      <c r="IK1" t="e">
        <f>AND(EC!A28,"AAAAAHef/vQ=")</f>
        <v>#VALUE!</v>
      </c>
      <c r="IL1" t="e">
        <f>AND(EC!B28,"AAAAAHef/vU=")</f>
        <v>#VALUE!</v>
      </c>
      <c r="IM1" t="e">
        <f>AND(EC!C28,"AAAAAHef/vY=")</f>
        <v>#VALUE!</v>
      </c>
      <c r="IN1" t="e">
        <f>AND(EC!D28,"AAAAAHef/vc=")</f>
        <v>#VALUE!</v>
      </c>
      <c r="IO1" t="e">
        <f>AND(EC!E28,"AAAAAHef/vg=")</f>
        <v>#VALUE!</v>
      </c>
      <c r="IP1" t="e">
        <f>AND(EC!F28,"AAAAAHef/vk=")</f>
        <v>#VALUE!</v>
      </c>
      <c r="IQ1" t="e">
        <f>AND(EC!G28,"AAAAAHef/vo=")</f>
        <v>#VALUE!</v>
      </c>
      <c r="IR1" t="e">
        <f>AND(EC!H28,"AAAAAHef/vs=")</f>
        <v>#VALUE!</v>
      </c>
      <c r="IS1">
        <f>IF(EC!29:29,"AAAAAHef/vw=",0)</f>
        <v>0</v>
      </c>
      <c r="IT1" t="e">
        <f>AND(EC!A29,"AAAAAHef/v0=")</f>
        <v>#VALUE!</v>
      </c>
      <c r="IU1" t="e">
        <f>AND(EC!B29,"AAAAAHef/v4=")</f>
        <v>#VALUE!</v>
      </c>
      <c r="IV1" t="e">
        <f>AND(EC!C29,"AAAAAHef/v8=")</f>
        <v>#VALUE!</v>
      </c>
    </row>
    <row r="2" spans="1:256">
      <c r="A2" t="e">
        <f>AND(EC!D29,"AAAAAD7O/wA=")</f>
        <v>#VALUE!</v>
      </c>
      <c r="B2" t="e">
        <f>AND(EC!E29,"AAAAAD7O/wE=")</f>
        <v>#VALUE!</v>
      </c>
      <c r="C2" t="e">
        <f>AND(EC!F29,"AAAAAD7O/wI=")</f>
        <v>#VALUE!</v>
      </c>
      <c r="D2" t="e">
        <f>AND(EC!G29,"AAAAAD7O/wM=")</f>
        <v>#VALUE!</v>
      </c>
      <c r="E2" t="e">
        <f>AND(EC!H29,"AAAAAD7O/wQ=")</f>
        <v>#VALUE!</v>
      </c>
      <c r="F2">
        <f>IF(EC!30:30,"AAAAAD7O/wU=",0)</f>
        <v>0</v>
      </c>
      <c r="G2" t="e">
        <f>AND(EC!A30,"AAAAAD7O/wY=")</f>
        <v>#VALUE!</v>
      </c>
      <c r="H2" t="e">
        <f>AND(EC!B30,"AAAAAD7O/wc=")</f>
        <v>#VALUE!</v>
      </c>
      <c r="I2" t="e">
        <f>AND(EC!C30,"AAAAAD7O/wg=")</f>
        <v>#VALUE!</v>
      </c>
      <c r="J2" t="e">
        <f>AND(EC!D30,"AAAAAD7O/wk=")</f>
        <v>#VALUE!</v>
      </c>
      <c r="K2" t="e">
        <f>AND(EC!E30,"AAAAAD7O/wo=")</f>
        <v>#VALUE!</v>
      </c>
      <c r="L2" t="e">
        <f>AND(EC!F30,"AAAAAD7O/ws=")</f>
        <v>#VALUE!</v>
      </c>
      <c r="M2" t="e">
        <f>AND(EC!G30,"AAAAAD7O/ww=")</f>
        <v>#VALUE!</v>
      </c>
      <c r="N2" t="e">
        <f>AND(EC!H30,"AAAAAD7O/w0=")</f>
        <v>#VALUE!</v>
      </c>
      <c r="O2">
        <f>IF(EC!31:31,"AAAAAD7O/w4=",0)</f>
        <v>0</v>
      </c>
      <c r="P2" t="e">
        <f>AND(EC!A31,"AAAAAD7O/w8=")</f>
        <v>#VALUE!</v>
      </c>
      <c r="Q2" t="e">
        <f>AND(EC!B31,"AAAAAD7O/xA=")</f>
        <v>#VALUE!</v>
      </c>
      <c r="R2" t="e">
        <f>AND(EC!C31,"AAAAAD7O/xE=")</f>
        <v>#VALUE!</v>
      </c>
      <c r="S2" t="e">
        <f>AND(EC!D31,"AAAAAD7O/xI=")</f>
        <v>#VALUE!</v>
      </c>
      <c r="T2" t="e">
        <f>AND(EC!E31,"AAAAAD7O/xM=")</f>
        <v>#VALUE!</v>
      </c>
      <c r="U2" t="e">
        <f>AND(EC!F31,"AAAAAD7O/xQ=")</f>
        <v>#VALUE!</v>
      </c>
      <c r="V2" t="e">
        <f>AND(EC!G31,"AAAAAD7O/xU=")</f>
        <v>#VALUE!</v>
      </c>
      <c r="W2" t="e">
        <f>AND(EC!H31,"AAAAAD7O/xY=")</f>
        <v>#VALUE!</v>
      </c>
      <c r="X2">
        <f>IF(EC!32:32,"AAAAAD7O/xc=",0)</f>
        <v>0</v>
      </c>
      <c r="Y2" t="e">
        <f>AND(EC!A32,"AAAAAD7O/xg=")</f>
        <v>#VALUE!</v>
      </c>
      <c r="Z2" t="e">
        <f>AND(EC!B32,"AAAAAD7O/xk=")</f>
        <v>#VALUE!</v>
      </c>
      <c r="AA2" t="e">
        <f>AND(EC!C32,"AAAAAD7O/xo=")</f>
        <v>#VALUE!</v>
      </c>
      <c r="AB2" t="e">
        <f>AND(EC!D32,"AAAAAD7O/xs=")</f>
        <v>#VALUE!</v>
      </c>
      <c r="AC2" t="e">
        <f>AND(EC!E32,"AAAAAD7O/xw=")</f>
        <v>#VALUE!</v>
      </c>
      <c r="AD2" t="e">
        <f>AND(EC!F32,"AAAAAD7O/x0=")</f>
        <v>#VALUE!</v>
      </c>
      <c r="AE2" t="e">
        <f>AND(EC!G32,"AAAAAD7O/x4=")</f>
        <v>#VALUE!</v>
      </c>
      <c r="AF2" t="e">
        <f>AND(EC!H32,"AAAAAD7O/x8=")</f>
        <v>#VALUE!</v>
      </c>
      <c r="AG2">
        <f>IF(EC!33:33,"AAAAAD7O/yA=",0)</f>
        <v>0</v>
      </c>
      <c r="AH2" t="e">
        <f>AND(EC!A33,"AAAAAD7O/yE=")</f>
        <v>#VALUE!</v>
      </c>
      <c r="AI2" t="e">
        <f>AND(EC!B33,"AAAAAD7O/yI=")</f>
        <v>#VALUE!</v>
      </c>
      <c r="AJ2" t="e">
        <f>AND(EC!C33,"AAAAAD7O/yM=")</f>
        <v>#VALUE!</v>
      </c>
      <c r="AK2" t="e">
        <f>AND(EC!D33,"AAAAAD7O/yQ=")</f>
        <v>#VALUE!</v>
      </c>
      <c r="AL2" t="e">
        <f>AND(EC!E33,"AAAAAD7O/yU=")</f>
        <v>#VALUE!</v>
      </c>
      <c r="AM2" t="e">
        <f>AND(EC!F33,"AAAAAD7O/yY=")</f>
        <v>#VALUE!</v>
      </c>
      <c r="AN2" t="e">
        <f>AND(EC!G33,"AAAAAD7O/yc=")</f>
        <v>#VALUE!</v>
      </c>
      <c r="AO2" t="e">
        <f>AND(EC!H33,"AAAAAD7O/yg=")</f>
        <v>#VALUE!</v>
      </c>
      <c r="AP2">
        <f>IF(EC!34:34,"AAAAAD7O/yk=",0)</f>
        <v>0</v>
      </c>
      <c r="AQ2" t="e">
        <f>AND(EC!A34,"AAAAAD7O/yo=")</f>
        <v>#VALUE!</v>
      </c>
      <c r="AR2" t="e">
        <f>AND(EC!B34,"AAAAAD7O/ys=")</f>
        <v>#VALUE!</v>
      </c>
      <c r="AS2" t="e">
        <f>AND(EC!C34,"AAAAAD7O/yw=")</f>
        <v>#VALUE!</v>
      </c>
      <c r="AT2" t="e">
        <f>AND(EC!D34,"AAAAAD7O/y0=")</f>
        <v>#VALUE!</v>
      </c>
      <c r="AU2" t="e">
        <f>AND(EC!E34,"AAAAAD7O/y4=")</f>
        <v>#VALUE!</v>
      </c>
      <c r="AV2" t="e">
        <f>AND(EC!F34,"AAAAAD7O/y8=")</f>
        <v>#VALUE!</v>
      </c>
      <c r="AW2" t="e">
        <f>AND(EC!G34,"AAAAAD7O/zA=")</f>
        <v>#VALUE!</v>
      </c>
      <c r="AX2" t="e">
        <f>AND(EC!H34,"AAAAAD7O/zE=")</f>
        <v>#VALUE!</v>
      </c>
      <c r="AY2">
        <f>IF(EC!35:35,"AAAAAD7O/zI=",0)</f>
        <v>0</v>
      </c>
      <c r="AZ2" t="e">
        <f>AND(EC!A35,"AAAAAD7O/zM=")</f>
        <v>#VALUE!</v>
      </c>
      <c r="BA2" t="e">
        <f>AND(EC!B35,"AAAAAD7O/zQ=")</f>
        <v>#VALUE!</v>
      </c>
      <c r="BB2" t="e">
        <f>AND(EC!C35,"AAAAAD7O/zU=")</f>
        <v>#VALUE!</v>
      </c>
      <c r="BC2" t="e">
        <f>AND(EC!D35,"AAAAAD7O/zY=")</f>
        <v>#VALUE!</v>
      </c>
      <c r="BD2" t="e">
        <f>AND(EC!E35,"AAAAAD7O/zc=")</f>
        <v>#VALUE!</v>
      </c>
      <c r="BE2" t="e">
        <f>AND(EC!F35,"AAAAAD7O/zg=")</f>
        <v>#VALUE!</v>
      </c>
      <c r="BF2" t="e">
        <f>AND(EC!G35,"AAAAAD7O/zk=")</f>
        <v>#VALUE!</v>
      </c>
      <c r="BG2" t="e">
        <f>AND(EC!H35,"AAAAAD7O/zo=")</f>
        <v>#VALUE!</v>
      </c>
      <c r="BH2">
        <f>IF(EC!36:36,"AAAAAD7O/zs=",0)</f>
        <v>0</v>
      </c>
      <c r="BI2" t="e">
        <f>AND(EC!A36,"AAAAAD7O/zw=")</f>
        <v>#VALUE!</v>
      </c>
      <c r="BJ2" t="e">
        <f>AND(EC!B36,"AAAAAD7O/z0=")</f>
        <v>#VALUE!</v>
      </c>
      <c r="BK2" t="e">
        <f>AND(EC!C36,"AAAAAD7O/z4=")</f>
        <v>#VALUE!</v>
      </c>
      <c r="BL2" t="e">
        <f>AND(EC!D36,"AAAAAD7O/z8=")</f>
        <v>#VALUE!</v>
      </c>
      <c r="BM2" t="e">
        <f>AND(EC!E36,"AAAAAD7O/0A=")</f>
        <v>#VALUE!</v>
      </c>
      <c r="BN2" t="e">
        <f>AND(EC!F36,"AAAAAD7O/0E=")</f>
        <v>#VALUE!</v>
      </c>
      <c r="BO2" t="e">
        <f>AND(EC!G36,"AAAAAD7O/0I=")</f>
        <v>#VALUE!</v>
      </c>
      <c r="BP2" t="e">
        <f>AND(EC!H36,"AAAAAD7O/0M=")</f>
        <v>#VALUE!</v>
      </c>
      <c r="BQ2">
        <f>IF(EC!37:37,"AAAAAD7O/0Q=",0)</f>
        <v>0</v>
      </c>
      <c r="BR2" t="e">
        <f>AND(EC!A37,"AAAAAD7O/0U=")</f>
        <v>#VALUE!</v>
      </c>
      <c r="BS2" t="e">
        <f>AND(EC!B37,"AAAAAD7O/0Y=")</f>
        <v>#VALUE!</v>
      </c>
      <c r="BT2" t="e">
        <f>AND(EC!C37,"AAAAAD7O/0c=")</f>
        <v>#VALUE!</v>
      </c>
      <c r="BU2" t="e">
        <f>AND(EC!D37,"AAAAAD7O/0g=")</f>
        <v>#VALUE!</v>
      </c>
      <c r="BV2" t="e">
        <f>AND(EC!E37,"AAAAAD7O/0k=")</f>
        <v>#VALUE!</v>
      </c>
      <c r="BW2" t="e">
        <f>AND(EC!F37,"AAAAAD7O/0o=")</f>
        <v>#VALUE!</v>
      </c>
      <c r="BX2" t="e">
        <f>AND(EC!G37,"AAAAAD7O/0s=")</f>
        <v>#VALUE!</v>
      </c>
      <c r="BY2" t="e">
        <f>AND(EC!H37,"AAAAAD7O/0w=")</f>
        <v>#VALUE!</v>
      </c>
      <c r="BZ2">
        <f>IF(EC!38:38,"AAAAAD7O/00=",0)</f>
        <v>0</v>
      </c>
      <c r="CA2" t="e">
        <f>AND(EC!A38,"AAAAAD7O/04=")</f>
        <v>#VALUE!</v>
      </c>
      <c r="CB2" t="e">
        <f>AND(EC!B38,"AAAAAD7O/08=")</f>
        <v>#VALUE!</v>
      </c>
      <c r="CC2" t="e">
        <f>AND(EC!C38,"AAAAAD7O/1A=")</f>
        <v>#VALUE!</v>
      </c>
      <c r="CD2" t="e">
        <f>AND(EC!D38,"AAAAAD7O/1E=")</f>
        <v>#VALUE!</v>
      </c>
      <c r="CE2" t="e">
        <f>AND(EC!E38,"AAAAAD7O/1I=")</f>
        <v>#VALUE!</v>
      </c>
      <c r="CF2" t="e">
        <f>AND(EC!F38,"AAAAAD7O/1M=")</f>
        <v>#VALUE!</v>
      </c>
      <c r="CG2" t="e">
        <f>AND(EC!G38,"AAAAAD7O/1Q=")</f>
        <v>#VALUE!</v>
      </c>
      <c r="CH2" t="e">
        <f>AND(EC!H38,"AAAAAD7O/1U=")</f>
        <v>#VALUE!</v>
      </c>
      <c r="CI2">
        <f>IF(EC!39:39,"AAAAAD7O/1Y=",0)</f>
        <v>0</v>
      </c>
      <c r="CJ2" t="e">
        <f>AND(EC!A39,"AAAAAD7O/1c=")</f>
        <v>#VALUE!</v>
      </c>
      <c r="CK2" t="e">
        <f>AND(EC!B39,"AAAAAD7O/1g=")</f>
        <v>#VALUE!</v>
      </c>
      <c r="CL2" t="e">
        <f>AND(EC!C39,"AAAAAD7O/1k=")</f>
        <v>#VALUE!</v>
      </c>
      <c r="CM2" t="e">
        <f>AND(EC!D39,"AAAAAD7O/1o=")</f>
        <v>#VALUE!</v>
      </c>
      <c r="CN2" t="e">
        <f>AND(EC!E39,"AAAAAD7O/1s=")</f>
        <v>#VALUE!</v>
      </c>
      <c r="CO2" t="e">
        <f>AND(EC!F39,"AAAAAD7O/1w=")</f>
        <v>#VALUE!</v>
      </c>
      <c r="CP2" t="e">
        <f>AND(EC!G39,"AAAAAD7O/10=")</f>
        <v>#VALUE!</v>
      </c>
      <c r="CQ2" t="e">
        <f>AND(EC!H39,"AAAAAD7O/14=")</f>
        <v>#VALUE!</v>
      </c>
      <c r="CR2">
        <f>IF(EC!40:40,"AAAAAD7O/18=",0)</f>
        <v>0</v>
      </c>
      <c r="CS2" t="e">
        <f>AND(EC!A40,"AAAAAD7O/2A=")</f>
        <v>#VALUE!</v>
      </c>
      <c r="CT2" t="e">
        <f>AND(EC!B40,"AAAAAD7O/2E=")</f>
        <v>#VALUE!</v>
      </c>
      <c r="CU2" t="e">
        <f>AND(EC!C40,"AAAAAD7O/2I=")</f>
        <v>#VALUE!</v>
      </c>
      <c r="CV2" t="e">
        <f>AND(EC!D40,"AAAAAD7O/2M=")</f>
        <v>#VALUE!</v>
      </c>
      <c r="CW2" t="e">
        <f>AND(EC!E40,"AAAAAD7O/2Q=")</f>
        <v>#VALUE!</v>
      </c>
      <c r="CX2" t="e">
        <f>AND(EC!F40,"AAAAAD7O/2U=")</f>
        <v>#VALUE!</v>
      </c>
      <c r="CY2" t="e">
        <f>AND(EC!G40,"AAAAAD7O/2Y=")</f>
        <v>#VALUE!</v>
      </c>
      <c r="CZ2" t="e">
        <f>AND(EC!H40,"AAAAAD7O/2c=")</f>
        <v>#VALUE!</v>
      </c>
      <c r="DA2">
        <f>IF(EC!41:41,"AAAAAD7O/2g=",0)</f>
        <v>0</v>
      </c>
      <c r="DB2" t="e">
        <f>AND(EC!A41,"AAAAAD7O/2k=")</f>
        <v>#VALUE!</v>
      </c>
      <c r="DC2" t="e">
        <f>AND(EC!B41,"AAAAAD7O/2o=")</f>
        <v>#VALUE!</v>
      </c>
      <c r="DD2" t="e">
        <f>AND(EC!C41,"AAAAAD7O/2s=")</f>
        <v>#VALUE!</v>
      </c>
      <c r="DE2" t="e">
        <f>AND(EC!D41,"AAAAAD7O/2w=")</f>
        <v>#VALUE!</v>
      </c>
      <c r="DF2" t="e">
        <f>AND(EC!E41,"AAAAAD7O/20=")</f>
        <v>#VALUE!</v>
      </c>
      <c r="DG2" t="e">
        <f>AND(EC!F41,"AAAAAD7O/24=")</f>
        <v>#VALUE!</v>
      </c>
      <c r="DH2" t="e">
        <f>AND(EC!G41,"AAAAAD7O/28=")</f>
        <v>#VALUE!</v>
      </c>
      <c r="DI2" t="e">
        <f>AND(EC!H41,"AAAAAD7O/3A=")</f>
        <v>#VALUE!</v>
      </c>
      <c r="DJ2">
        <f>IF(EC!42:42,"AAAAAD7O/3E=",0)</f>
        <v>0</v>
      </c>
      <c r="DK2" t="e">
        <f>AND(EC!A42,"AAAAAD7O/3I=")</f>
        <v>#VALUE!</v>
      </c>
      <c r="DL2" t="e">
        <f>AND(EC!B42,"AAAAAD7O/3M=")</f>
        <v>#VALUE!</v>
      </c>
      <c r="DM2" t="e">
        <f>AND(EC!C42,"AAAAAD7O/3Q=")</f>
        <v>#VALUE!</v>
      </c>
      <c r="DN2" t="e">
        <f>AND(EC!D42,"AAAAAD7O/3U=")</f>
        <v>#VALUE!</v>
      </c>
      <c r="DO2" t="e">
        <f>AND(EC!E42,"AAAAAD7O/3Y=")</f>
        <v>#VALUE!</v>
      </c>
      <c r="DP2" t="e">
        <f>AND(EC!F42,"AAAAAD7O/3c=")</f>
        <v>#VALUE!</v>
      </c>
      <c r="DQ2" t="e">
        <f>AND(EC!G42,"AAAAAD7O/3g=")</f>
        <v>#VALUE!</v>
      </c>
      <c r="DR2" t="e">
        <f>AND(EC!H42,"AAAAAD7O/3k=")</f>
        <v>#VALUE!</v>
      </c>
      <c r="DS2">
        <f>IF(EC!43:43,"AAAAAD7O/3o=",0)</f>
        <v>0</v>
      </c>
      <c r="DT2" t="e">
        <f>AND(EC!A43,"AAAAAD7O/3s=")</f>
        <v>#VALUE!</v>
      </c>
      <c r="DU2" t="e">
        <f>AND(EC!B43,"AAAAAD7O/3w=")</f>
        <v>#VALUE!</v>
      </c>
      <c r="DV2" t="e">
        <f>AND(EC!C43,"AAAAAD7O/30=")</f>
        <v>#VALUE!</v>
      </c>
      <c r="DW2" t="e">
        <f>AND(EC!D43,"AAAAAD7O/34=")</f>
        <v>#VALUE!</v>
      </c>
      <c r="DX2" t="e">
        <f>AND(EC!E43,"AAAAAD7O/38=")</f>
        <v>#VALUE!</v>
      </c>
      <c r="DY2" t="e">
        <f>AND(EC!F43,"AAAAAD7O/4A=")</f>
        <v>#VALUE!</v>
      </c>
      <c r="DZ2" t="e">
        <f>AND(EC!G43,"AAAAAD7O/4E=")</f>
        <v>#VALUE!</v>
      </c>
      <c r="EA2" t="e">
        <f>AND(EC!H43,"AAAAAD7O/4I=")</f>
        <v>#VALUE!</v>
      </c>
      <c r="EB2">
        <f>IF(EC!44:44,"AAAAAD7O/4M=",0)</f>
        <v>0</v>
      </c>
      <c r="EC2" t="e">
        <f>AND(EC!A44,"AAAAAD7O/4Q=")</f>
        <v>#VALUE!</v>
      </c>
      <c r="ED2" t="e">
        <f>AND(EC!B44,"AAAAAD7O/4U=")</f>
        <v>#VALUE!</v>
      </c>
      <c r="EE2" t="e">
        <f>AND(EC!C44,"AAAAAD7O/4Y=")</f>
        <v>#VALUE!</v>
      </c>
      <c r="EF2" t="e">
        <f>AND(EC!D44,"AAAAAD7O/4c=")</f>
        <v>#VALUE!</v>
      </c>
      <c r="EG2" t="e">
        <f>AND(EC!E44,"AAAAAD7O/4g=")</f>
        <v>#VALUE!</v>
      </c>
      <c r="EH2" t="e">
        <f>AND(EC!F44,"AAAAAD7O/4k=")</f>
        <v>#VALUE!</v>
      </c>
      <c r="EI2" t="e">
        <f>AND(EC!G44,"AAAAAD7O/4o=")</f>
        <v>#VALUE!</v>
      </c>
      <c r="EJ2" t="e">
        <f>AND(EC!H44,"AAAAAD7O/4s=")</f>
        <v>#VALUE!</v>
      </c>
      <c r="EK2">
        <f>IF(EC!45:45,"AAAAAD7O/4w=",0)</f>
        <v>0</v>
      </c>
      <c r="EL2" t="e">
        <f>AND(EC!A45,"AAAAAD7O/40=")</f>
        <v>#VALUE!</v>
      </c>
      <c r="EM2" t="e">
        <f>AND(EC!B45,"AAAAAD7O/44=")</f>
        <v>#VALUE!</v>
      </c>
      <c r="EN2" t="e">
        <f>AND(EC!C45,"AAAAAD7O/48=")</f>
        <v>#VALUE!</v>
      </c>
      <c r="EO2" t="e">
        <f>AND(EC!D45,"AAAAAD7O/5A=")</f>
        <v>#VALUE!</v>
      </c>
      <c r="EP2" t="e">
        <f>AND(EC!E45,"AAAAAD7O/5E=")</f>
        <v>#VALUE!</v>
      </c>
      <c r="EQ2" t="e">
        <f>AND(EC!F45,"AAAAAD7O/5I=")</f>
        <v>#VALUE!</v>
      </c>
      <c r="ER2" t="e">
        <f>AND(EC!G45,"AAAAAD7O/5M=")</f>
        <v>#VALUE!</v>
      </c>
      <c r="ES2" t="e">
        <f>AND(EC!H45,"AAAAAD7O/5Q=")</f>
        <v>#VALUE!</v>
      </c>
      <c r="ET2">
        <f>IF(EC!46:46,"AAAAAD7O/5U=",0)</f>
        <v>0</v>
      </c>
      <c r="EU2" t="e">
        <f>AND(EC!A46,"AAAAAD7O/5Y=")</f>
        <v>#VALUE!</v>
      </c>
      <c r="EV2" t="e">
        <f>AND(EC!B46,"AAAAAD7O/5c=")</f>
        <v>#VALUE!</v>
      </c>
      <c r="EW2" t="e">
        <f>AND(EC!C46,"AAAAAD7O/5g=")</f>
        <v>#VALUE!</v>
      </c>
      <c r="EX2" t="e">
        <f>AND(EC!D46,"AAAAAD7O/5k=")</f>
        <v>#VALUE!</v>
      </c>
      <c r="EY2" t="e">
        <f>AND(EC!E46,"AAAAAD7O/5o=")</f>
        <v>#VALUE!</v>
      </c>
      <c r="EZ2" t="e">
        <f>AND(EC!F46,"AAAAAD7O/5s=")</f>
        <v>#VALUE!</v>
      </c>
      <c r="FA2" t="e">
        <f>AND(EC!G46,"AAAAAD7O/5w=")</f>
        <v>#VALUE!</v>
      </c>
      <c r="FB2" t="e">
        <f>AND(EC!H46,"AAAAAD7O/50=")</f>
        <v>#VALUE!</v>
      </c>
      <c r="FC2">
        <f>IF(EC!47:47,"AAAAAD7O/54=",0)</f>
        <v>0</v>
      </c>
      <c r="FD2" t="e">
        <f>AND(EC!A47,"AAAAAD7O/58=")</f>
        <v>#VALUE!</v>
      </c>
      <c r="FE2" t="e">
        <f>AND(EC!B47,"AAAAAD7O/6A=")</f>
        <v>#VALUE!</v>
      </c>
      <c r="FF2" t="e">
        <f>AND(EC!C47,"AAAAAD7O/6E=")</f>
        <v>#VALUE!</v>
      </c>
      <c r="FG2" t="e">
        <f>AND(EC!D47,"AAAAAD7O/6I=")</f>
        <v>#VALUE!</v>
      </c>
      <c r="FH2" t="e">
        <f>AND(EC!E47,"AAAAAD7O/6M=")</f>
        <v>#VALUE!</v>
      </c>
      <c r="FI2" t="e">
        <f>AND(EC!F47,"AAAAAD7O/6Q=")</f>
        <v>#VALUE!</v>
      </c>
      <c r="FJ2" t="e">
        <f>AND(EC!G47,"AAAAAD7O/6U=")</f>
        <v>#VALUE!</v>
      </c>
      <c r="FK2" t="e">
        <f>AND(EC!H47,"AAAAAD7O/6Y=")</f>
        <v>#VALUE!</v>
      </c>
      <c r="FL2">
        <f>IF(EC!48:48,"AAAAAD7O/6c=",0)</f>
        <v>0</v>
      </c>
      <c r="FM2" t="e">
        <f>AND(EC!A48,"AAAAAD7O/6g=")</f>
        <v>#VALUE!</v>
      </c>
      <c r="FN2" t="e">
        <f>AND(EC!B48,"AAAAAD7O/6k=")</f>
        <v>#VALUE!</v>
      </c>
      <c r="FO2" t="e">
        <f>AND(EC!C48,"AAAAAD7O/6o=")</f>
        <v>#VALUE!</v>
      </c>
      <c r="FP2" t="e">
        <f>AND(EC!D48,"AAAAAD7O/6s=")</f>
        <v>#VALUE!</v>
      </c>
      <c r="FQ2" t="e">
        <f>AND(EC!E48,"AAAAAD7O/6w=")</f>
        <v>#VALUE!</v>
      </c>
      <c r="FR2" t="e">
        <f>AND(EC!F48,"AAAAAD7O/60=")</f>
        <v>#VALUE!</v>
      </c>
      <c r="FS2" t="e">
        <f>AND(EC!G48,"AAAAAD7O/64=")</f>
        <v>#VALUE!</v>
      </c>
      <c r="FT2" t="e">
        <f>AND(EC!H48,"AAAAAD7O/68=")</f>
        <v>#VALUE!</v>
      </c>
      <c r="FU2">
        <f>IF(EC!49:49,"AAAAAD7O/7A=",0)</f>
        <v>0</v>
      </c>
      <c r="FV2" t="e">
        <f>AND(EC!A49,"AAAAAD7O/7E=")</f>
        <v>#VALUE!</v>
      </c>
      <c r="FW2" t="e">
        <f>AND(EC!B49,"AAAAAD7O/7I=")</f>
        <v>#VALUE!</v>
      </c>
      <c r="FX2" t="e">
        <f>AND(EC!C49,"AAAAAD7O/7M=")</f>
        <v>#VALUE!</v>
      </c>
      <c r="FY2" t="e">
        <f>AND(EC!D49,"AAAAAD7O/7Q=")</f>
        <v>#VALUE!</v>
      </c>
      <c r="FZ2" t="e">
        <f>AND(EC!E49,"AAAAAD7O/7U=")</f>
        <v>#VALUE!</v>
      </c>
      <c r="GA2" t="e">
        <f>AND(EC!F49,"AAAAAD7O/7Y=")</f>
        <v>#VALUE!</v>
      </c>
      <c r="GB2" t="e">
        <f>AND(EC!G49,"AAAAAD7O/7c=")</f>
        <v>#VALUE!</v>
      </c>
      <c r="GC2" t="e">
        <f>AND(EC!H49,"AAAAAD7O/7g=")</f>
        <v>#VALUE!</v>
      </c>
      <c r="GD2">
        <f>IF(EC!50:50,"AAAAAD7O/7k=",0)</f>
        <v>0</v>
      </c>
      <c r="GE2" t="e">
        <f>AND(EC!A50,"AAAAAD7O/7o=")</f>
        <v>#VALUE!</v>
      </c>
      <c r="GF2" t="e">
        <f>AND(EC!B50,"AAAAAD7O/7s=")</f>
        <v>#VALUE!</v>
      </c>
      <c r="GG2" t="e">
        <f>AND(EC!C50,"AAAAAD7O/7w=")</f>
        <v>#VALUE!</v>
      </c>
      <c r="GH2" t="e">
        <f>AND(EC!D50,"AAAAAD7O/70=")</f>
        <v>#VALUE!</v>
      </c>
      <c r="GI2" t="e">
        <f>AND(EC!E50,"AAAAAD7O/74=")</f>
        <v>#VALUE!</v>
      </c>
      <c r="GJ2" t="e">
        <f>AND(EC!F50,"AAAAAD7O/78=")</f>
        <v>#VALUE!</v>
      </c>
      <c r="GK2" t="e">
        <f>AND(EC!G50,"AAAAAD7O/8A=")</f>
        <v>#VALUE!</v>
      </c>
      <c r="GL2" t="e">
        <f>AND(EC!H50,"AAAAAD7O/8E=")</f>
        <v>#VALUE!</v>
      </c>
      <c r="GM2">
        <f>IF(EC!51:51,"AAAAAD7O/8I=",0)</f>
        <v>0</v>
      </c>
      <c r="GN2" t="e">
        <f>AND(EC!A51,"AAAAAD7O/8M=")</f>
        <v>#VALUE!</v>
      </c>
      <c r="GO2" t="e">
        <f>AND(EC!B51,"AAAAAD7O/8Q=")</f>
        <v>#VALUE!</v>
      </c>
      <c r="GP2" t="e">
        <f>AND(EC!C51,"AAAAAD7O/8U=")</f>
        <v>#VALUE!</v>
      </c>
      <c r="GQ2" t="e">
        <f>AND(EC!D51,"AAAAAD7O/8Y=")</f>
        <v>#VALUE!</v>
      </c>
      <c r="GR2" t="e">
        <f>AND(EC!E51,"AAAAAD7O/8c=")</f>
        <v>#VALUE!</v>
      </c>
      <c r="GS2" t="e">
        <f>AND(EC!F51,"AAAAAD7O/8g=")</f>
        <v>#VALUE!</v>
      </c>
      <c r="GT2" t="e">
        <f>AND(EC!G51,"AAAAAD7O/8k=")</f>
        <v>#VALUE!</v>
      </c>
      <c r="GU2" t="e">
        <f>AND(EC!H51,"AAAAAD7O/8o=")</f>
        <v>#VALUE!</v>
      </c>
      <c r="GV2">
        <f>IF(EC!A:A,"AAAAAD7O/8s=",0)</f>
        <v>0</v>
      </c>
      <c r="GW2">
        <f>IF(EC!B:B,"AAAAAD7O/8w=",0)</f>
        <v>0</v>
      </c>
      <c r="GX2">
        <f>IF(EC!C:C,"AAAAAD7O/80=",0)</f>
        <v>0</v>
      </c>
      <c r="GY2" t="e">
        <f>IF(EC!D:D,"AAAAAD7O/84=",0)</f>
        <v>#VALUE!</v>
      </c>
      <c r="GZ2">
        <f>IF(EC!E:E,"AAAAAD7O/88=",0)</f>
        <v>0</v>
      </c>
      <c r="HA2">
        <f>IF(EC!F:F,"AAAAAD7O/9A=",0)</f>
        <v>0</v>
      </c>
      <c r="HB2">
        <f>IF(EC!G:G,"AAAAAD7O/9E=",0)</f>
        <v>0</v>
      </c>
      <c r="HC2">
        <f>IF(EC!H:H,"AAAAAD7O/9I=",0)</f>
        <v>0</v>
      </c>
      <c r="HD2">
        <f>IF(hydraul!1:1,"AAAAAD7O/9M=",0)</f>
        <v>0</v>
      </c>
      <c r="HE2" t="e">
        <f>AND(hydraul!A1,"AAAAAD7O/9Q=")</f>
        <v>#VALUE!</v>
      </c>
      <c r="HF2" t="e">
        <f>AND(hydraul!B1,"AAAAAD7O/9U=")</f>
        <v>#VALUE!</v>
      </c>
      <c r="HG2" t="e">
        <f>AND(hydraul!C1,"AAAAAD7O/9Y=")</f>
        <v>#VALUE!</v>
      </c>
      <c r="HH2" t="e">
        <f>AND(hydraul!D1,"AAAAAD7O/9c=")</f>
        <v>#VALUE!</v>
      </c>
      <c r="HI2" t="e">
        <f>AND(hydraul!E1,"AAAAAD7O/9g=")</f>
        <v>#VALUE!</v>
      </c>
      <c r="HJ2" t="e">
        <f>AND(hydraul!F1,"AAAAAD7O/9k=")</f>
        <v>#VALUE!</v>
      </c>
      <c r="HK2" t="e">
        <f>AND(hydraul!G1,"AAAAAD7O/9o=")</f>
        <v>#VALUE!</v>
      </c>
      <c r="HL2" t="e">
        <f>AND(hydraul!H1,"AAAAAD7O/9s=")</f>
        <v>#VALUE!</v>
      </c>
      <c r="HM2">
        <f>IF(hydraul!2:2,"AAAAAD7O/9w=",0)</f>
        <v>0</v>
      </c>
      <c r="HN2" t="e">
        <f>AND(hydraul!A2,"AAAAAD7O/90=")</f>
        <v>#VALUE!</v>
      </c>
      <c r="HO2" t="e">
        <f>AND(hydraul!B2,"AAAAAD7O/94=")</f>
        <v>#VALUE!</v>
      </c>
      <c r="HP2" t="e">
        <f>AND(hydraul!C2,"AAAAAD7O/98=")</f>
        <v>#VALUE!</v>
      </c>
      <c r="HQ2" t="e">
        <f>AND(hydraul!D2,"AAAAAD7O/+A=")</f>
        <v>#VALUE!</v>
      </c>
      <c r="HR2" t="e">
        <f>AND(hydraul!E2,"AAAAAD7O/+E=")</f>
        <v>#VALUE!</v>
      </c>
      <c r="HS2" t="e">
        <f>AND(hydraul!F2,"AAAAAD7O/+I=")</f>
        <v>#VALUE!</v>
      </c>
      <c r="HT2" t="e">
        <f>AND(hydraul!G2,"AAAAAD7O/+M=")</f>
        <v>#VALUE!</v>
      </c>
      <c r="HU2" t="e">
        <f>AND(hydraul!H2,"AAAAAD7O/+Q=")</f>
        <v>#VALUE!</v>
      </c>
      <c r="HV2">
        <f>IF(hydraul!3:3,"AAAAAD7O/+U=",0)</f>
        <v>0</v>
      </c>
      <c r="HW2" t="e">
        <f>AND(hydraul!A3,"AAAAAD7O/+Y=")</f>
        <v>#VALUE!</v>
      </c>
      <c r="HX2" t="e">
        <f>AND(hydraul!B3,"AAAAAD7O/+c=")</f>
        <v>#VALUE!</v>
      </c>
      <c r="HY2" t="e">
        <f>AND(hydraul!C3,"AAAAAD7O/+g=")</f>
        <v>#VALUE!</v>
      </c>
      <c r="HZ2" t="e">
        <f>AND(hydraul!D3,"AAAAAD7O/+k=")</f>
        <v>#VALUE!</v>
      </c>
      <c r="IA2" t="e">
        <f>AND(hydraul!E3,"AAAAAD7O/+o=")</f>
        <v>#VALUE!</v>
      </c>
      <c r="IB2" t="e">
        <f>AND(hydraul!F3,"AAAAAD7O/+s=")</f>
        <v>#VALUE!</v>
      </c>
      <c r="IC2" t="e">
        <f>AND(hydraul!G3,"AAAAAD7O/+w=")</f>
        <v>#VALUE!</v>
      </c>
      <c r="ID2" t="e">
        <f>AND(hydraul!H3,"AAAAAD7O/+0=")</f>
        <v>#VALUE!</v>
      </c>
      <c r="IE2">
        <f>IF(hydraul!4:4,"AAAAAD7O/+4=",0)</f>
        <v>0</v>
      </c>
      <c r="IF2" t="e">
        <f>AND(hydraul!A4,"AAAAAD7O/+8=")</f>
        <v>#VALUE!</v>
      </c>
      <c r="IG2" t="e">
        <f>AND(hydraul!B4,"AAAAAD7O//A=")</f>
        <v>#VALUE!</v>
      </c>
      <c r="IH2" t="e">
        <f>AND(hydraul!C4,"AAAAAD7O//E=")</f>
        <v>#VALUE!</v>
      </c>
      <c r="II2" t="e">
        <f>AND(hydraul!D4,"AAAAAD7O//I=")</f>
        <v>#VALUE!</v>
      </c>
      <c r="IJ2" t="e">
        <f>AND(hydraul!E4,"AAAAAD7O//M=")</f>
        <v>#VALUE!</v>
      </c>
      <c r="IK2" t="e">
        <f>AND(hydraul!F4,"AAAAAD7O//Q=")</f>
        <v>#VALUE!</v>
      </c>
      <c r="IL2" t="e">
        <f>AND(hydraul!G4,"AAAAAD7O//U=")</f>
        <v>#VALUE!</v>
      </c>
      <c r="IM2" t="e">
        <f>AND(hydraul!H4,"AAAAAD7O//Y=")</f>
        <v>#VALUE!</v>
      </c>
      <c r="IN2">
        <f>IF(hydraul!5:5,"AAAAAD7O//c=",0)</f>
        <v>0</v>
      </c>
      <c r="IO2" t="e">
        <f>AND(hydraul!A5,"AAAAAD7O//g=")</f>
        <v>#VALUE!</v>
      </c>
      <c r="IP2" t="e">
        <f>AND(hydraul!B5,"AAAAAD7O//k=")</f>
        <v>#VALUE!</v>
      </c>
      <c r="IQ2" t="e">
        <f>AND(hydraul!C5,"AAAAAD7O//o=")</f>
        <v>#VALUE!</v>
      </c>
      <c r="IR2" t="e">
        <f>AND(hydraul!D5,"AAAAAD7O//s=")</f>
        <v>#VALUE!</v>
      </c>
      <c r="IS2" t="e">
        <f>AND(hydraul!E5,"AAAAAD7O//w=")</f>
        <v>#VALUE!</v>
      </c>
      <c r="IT2" t="e">
        <f>AND(hydraul!F5,"AAAAAD7O//0=")</f>
        <v>#VALUE!</v>
      </c>
      <c r="IU2" t="e">
        <f>AND(hydraul!G5,"AAAAAD7O//4=")</f>
        <v>#VALUE!</v>
      </c>
      <c r="IV2" t="e">
        <f>AND(hydraul!H5,"AAAAAD7O//8=")</f>
        <v>#VALUE!</v>
      </c>
    </row>
    <row r="3" spans="1:256">
      <c r="A3" t="e">
        <f>IF(hydraul!6:6,"AAAAAAef1wA=",0)</f>
        <v>#VALUE!</v>
      </c>
      <c r="B3" t="e">
        <f>AND(hydraul!A6,"AAAAAAef1wE=")</f>
        <v>#VALUE!</v>
      </c>
      <c r="C3" t="e">
        <f>AND(hydraul!B6,"AAAAAAef1wI=")</f>
        <v>#VALUE!</v>
      </c>
      <c r="D3" t="e">
        <f>AND(hydraul!C6,"AAAAAAef1wM=")</f>
        <v>#VALUE!</v>
      </c>
      <c r="E3" t="e">
        <f>AND(hydraul!D6,"AAAAAAef1wQ=")</f>
        <v>#VALUE!</v>
      </c>
      <c r="F3" t="e">
        <f>AND(hydraul!E6,"AAAAAAef1wU=")</f>
        <v>#VALUE!</v>
      </c>
      <c r="G3" t="e">
        <f>AND(hydraul!F6,"AAAAAAef1wY=")</f>
        <v>#VALUE!</v>
      </c>
      <c r="H3" t="e">
        <f>AND(hydraul!G6,"AAAAAAef1wc=")</f>
        <v>#VALUE!</v>
      </c>
      <c r="I3" t="e">
        <f>AND(hydraul!H6,"AAAAAAef1wg=")</f>
        <v>#VALUE!</v>
      </c>
      <c r="J3">
        <f>IF(hydraul!7:7,"AAAAAAef1wk=",0)</f>
        <v>0</v>
      </c>
      <c r="K3" t="e">
        <f>AND(hydraul!A7,"AAAAAAef1wo=")</f>
        <v>#VALUE!</v>
      </c>
      <c r="L3" t="e">
        <f>AND(hydraul!B7,"AAAAAAef1ws=")</f>
        <v>#VALUE!</v>
      </c>
      <c r="M3" t="e">
        <f>AND(hydraul!C7,"AAAAAAef1ww=")</f>
        <v>#VALUE!</v>
      </c>
      <c r="N3" t="e">
        <f>AND(hydraul!D7,"AAAAAAef1w0=")</f>
        <v>#VALUE!</v>
      </c>
      <c r="O3" t="e">
        <f>AND(hydraul!E7,"AAAAAAef1w4=")</f>
        <v>#VALUE!</v>
      </c>
      <c r="P3" t="e">
        <f>AND(hydraul!F7,"AAAAAAef1w8=")</f>
        <v>#VALUE!</v>
      </c>
      <c r="Q3" t="e">
        <f>AND(hydraul!G7,"AAAAAAef1xA=")</f>
        <v>#VALUE!</v>
      </c>
      <c r="R3" t="e">
        <f>AND(hydraul!H7,"AAAAAAef1xE=")</f>
        <v>#VALUE!</v>
      </c>
      <c r="S3">
        <f>IF(hydraul!8:8,"AAAAAAef1xI=",0)</f>
        <v>0</v>
      </c>
      <c r="T3" t="e">
        <f>AND(hydraul!A8,"AAAAAAef1xM=")</f>
        <v>#VALUE!</v>
      </c>
      <c r="U3" t="e">
        <f>AND(hydraul!B8,"AAAAAAef1xQ=")</f>
        <v>#VALUE!</v>
      </c>
      <c r="V3" t="e">
        <f>AND(hydraul!C8,"AAAAAAef1xU=")</f>
        <v>#VALUE!</v>
      </c>
      <c r="W3" t="e">
        <f>AND(hydraul!D8,"AAAAAAef1xY=")</f>
        <v>#VALUE!</v>
      </c>
      <c r="X3" t="e">
        <f>AND(hydraul!E8,"AAAAAAef1xc=")</f>
        <v>#VALUE!</v>
      </c>
      <c r="Y3" t="e">
        <f>AND(hydraul!F8,"AAAAAAef1xg=")</f>
        <v>#VALUE!</v>
      </c>
      <c r="Z3" t="e">
        <f>AND(hydraul!G8,"AAAAAAef1xk=")</f>
        <v>#VALUE!</v>
      </c>
      <c r="AA3" t="e">
        <f>AND(hydraul!H8,"AAAAAAef1xo=")</f>
        <v>#VALUE!</v>
      </c>
      <c r="AB3">
        <f>IF(hydraul!9:9,"AAAAAAef1xs=",0)</f>
        <v>0</v>
      </c>
      <c r="AC3" t="e">
        <f>AND(hydraul!A9,"AAAAAAef1xw=")</f>
        <v>#VALUE!</v>
      </c>
      <c r="AD3" t="e">
        <f>AND(hydraul!B9,"AAAAAAef1x0=")</f>
        <v>#VALUE!</v>
      </c>
      <c r="AE3" t="e">
        <f>AND(hydraul!C9,"AAAAAAef1x4=")</f>
        <v>#VALUE!</v>
      </c>
      <c r="AF3" t="e">
        <f>AND(hydraul!D9,"AAAAAAef1x8=")</f>
        <v>#VALUE!</v>
      </c>
      <c r="AG3" t="e">
        <f>AND(hydraul!E9,"AAAAAAef1yA=")</f>
        <v>#VALUE!</v>
      </c>
      <c r="AH3" t="e">
        <f>AND(hydraul!F9,"AAAAAAef1yE=")</f>
        <v>#VALUE!</v>
      </c>
      <c r="AI3" t="e">
        <f>AND(hydraul!G9,"AAAAAAef1yI=")</f>
        <v>#VALUE!</v>
      </c>
      <c r="AJ3" t="e">
        <f>AND(hydraul!H9,"AAAAAAef1yM=")</f>
        <v>#VALUE!</v>
      </c>
      <c r="AK3">
        <f>IF(hydraul!10:10,"AAAAAAef1yQ=",0)</f>
        <v>0</v>
      </c>
      <c r="AL3" t="e">
        <f>AND(hydraul!A10,"AAAAAAef1yU=")</f>
        <v>#VALUE!</v>
      </c>
      <c r="AM3" t="e">
        <f>AND(hydraul!B10,"AAAAAAef1yY=")</f>
        <v>#VALUE!</v>
      </c>
      <c r="AN3" t="e">
        <f>AND(hydraul!C10,"AAAAAAef1yc=")</f>
        <v>#VALUE!</v>
      </c>
      <c r="AO3" t="e">
        <f>AND(hydraul!D10,"AAAAAAef1yg=")</f>
        <v>#VALUE!</v>
      </c>
      <c r="AP3" t="e">
        <f>AND(hydraul!E10,"AAAAAAef1yk=")</f>
        <v>#VALUE!</v>
      </c>
      <c r="AQ3" t="e">
        <f>AND(hydraul!F10,"AAAAAAef1yo=")</f>
        <v>#VALUE!</v>
      </c>
      <c r="AR3" t="e">
        <f>AND(hydraul!G10,"AAAAAAef1ys=")</f>
        <v>#VALUE!</v>
      </c>
      <c r="AS3" t="e">
        <f>AND(hydraul!H10,"AAAAAAef1yw=")</f>
        <v>#VALUE!</v>
      </c>
      <c r="AT3">
        <f>IF(hydraul!11:11,"AAAAAAef1y0=",0)</f>
        <v>0</v>
      </c>
      <c r="AU3" t="e">
        <f>AND(hydraul!A11,"AAAAAAef1y4=")</f>
        <v>#VALUE!</v>
      </c>
      <c r="AV3" t="e">
        <f>AND(hydraul!B11,"AAAAAAef1y8=")</f>
        <v>#VALUE!</v>
      </c>
      <c r="AW3" t="e">
        <f>AND(hydraul!C11,"AAAAAAef1zA=")</f>
        <v>#VALUE!</v>
      </c>
      <c r="AX3" t="e">
        <f>AND(hydraul!D11,"AAAAAAef1zE=")</f>
        <v>#VALUE!</v>
      </c>
      <c r="AY3" t="e">
        <f>AND(hydraul!E11,"AAAAAAef1zI=")</f>
        <v>#VALUE!</v>
      </c>
      <c r="AZ3" t="e">
        <f>AND(hydraul!F11,"AAAAAAef1zM=")</f>
        <v>#VALUE!</v>
      </c>
      <c r="BA3" t="e">
        <f>AND(hydraul!G11,"AAAAAAef1zQ=")</f>
        <v>#VALUE!</v>
      </c>
      <c r="BB3" t="e">
        <f>AND(hydraul!H11,"AAAAAAef1zU=")</f>
        <v>#VALUE!</v>
      </c>
      <c r="BC3">
        <f>IF(hydraul!12:12,"AAAAAAef1zY=",0)</f>
        <v>0</v>
      </c>
      <c r="BD3" t="e">
        <f>AND(hydraul!A12,"AAAAAAef1zc=")</f>
        <v>#VALUE!</v>
      </c>
      <c r="BE3" t="e">
        <f>AND(hydraul!B12,"AAAAAAef1zg=")</f>
        <v>#VALUE!</v>
      </c>
      <c r="BF3" t="e">
        <f>AND(hydraul!C12,"AAAAAAef1zk=")</f>
        <v>#VALUE!</v>
      </c>
      <c r="BG3" t="e">
        <f>AND(hydraul!D12,"AAAAAAef1zo=")</f>
        <v>#VALUE!</v>
      </c>
      <c r="BH3" t="e">
        <f>AND(hydraul!E12,"AAAAAAef1zs=")</f>
        <v>#VALUE!</v>
      </c>
      <c r="BI3" t="e">
        <f>AND(hydraul!F12,"AAAAAAef1zw=")</f>
        <v>#VALUE!</v>
      </c>
      <c r="BJ3" t="e">
        <f>AND(hydraul!G12,"AAAAAAef1z0=")</f>
        <v>#VALUE!</v>
      </c>
      <c r="BK3" t="e">
        <f>AND(hydraul!H12,"AAAAAAef1z4=")</f>
        <v>#VALUE!</v>
      </c>
      <c r="BL3">
        <f>IF(hydraul!13:13,"AAAAAAef1z8=",0)</f>
        <v>0</v>
      </c>
      <c r="BM3" t="e">
        <f>AND(hydraul!A13,"AAAAAAef10A=")</f>
        <v>#VALUE!</v>
      </c>
      <c r="BN3" t="e">
        <f>AND(hydraul!B13,"AAAAAAef10E=")</f>
        <v>#VALUE!</v>
      </c>
      <c r="BO3" t="e">
        <f>AND(hydraul!C13,"AAAAAAef10I=")</f>
        <v>#VALUE!</v>
      </c>
      <c r="BP3" t="e">
        <f>AND(hydraul!D13,"AAAAAAef10M=")</f>
        <v>#VALUE!</v>
      </c>
      <c r="BQ3" t="e">
        <f>AND(hydraul!E13,"AAAAAAef10Q=")</f>
        <v>#VALUE!</v>
      </c>
      <c r="BR3" t="e">
        <f>AND(hydraul!F13,"AAAAAAef10U=")</f>
        <v>#VALUE!</v>
      </c>
      <c r="BS3" t="e">
        <f>AND(hydraul!G13,"AAAAAAef10Y=")</f>
        <v>#VALUE!</v>
      </c>
      <c r="BT3" t="e">
        <f>AND(hydraul!H13,"AAAAAAef10c=")</f>
        <v>#VALUE!</v>
      </c>
      <c r="BU3">
        <f>IF(hydraul!14:14,"AAAAAAef10g=",0)</f>
        <v>0</v>
      </c>
      <c r="BV3" t="e">
        <f>AND(hydraul!A14,"AAAAAAef10k=")</f>
        <v>#VALUE!</v>
      </c>
      <c r="BW3" t="e">
        <f>AND(hydraul!B14,"AAAAAAef10o=")</f>
        <v>#VALUE!</v>
      </c>
      <c r="BX3" t="e">
        <f>AND(hydraul!C14,"AAAAAAef10s=")</f>
        <v>#VALUE!</v>
      </c>
      <c r="BY3" t="e">
        <f>AND(hydraul!D14,"AAAAAAef10w=")</f>
        <v>#VALUE!</v>
      </c>
      <c r="BZ3" t="e">
        <f>AND(hydraul!E14,"AAAAAAef100=")</f>
        <v>#VALUE!</v>
      </c>
      <c r="CA3" t="e">
        <f>AND(hydraul!F14,"AAAAAAef104=")</f>
        <v>#VALUE!</v>
      </c>
      <c r="CB3" t="e">
        <f>AND(hydraul!G14,"AAAAAAef108=")</f>
        <v>#VALUE!</v>
      </c>
      <c r="CC3" t="e">
        <f>AND(hydraul!H14,"AAAAAAef11A=")</f>
        <v>#VALUE!</v>
      </c>
      <c r="CD3">
        <f>IF(hydraul!15:15,"AAAAAAef11E=",0)</f>
        <v>0</v>
      </c>
      <c r="CE3" t="e">
        <f>AND(hydraul!A15,"AAAAAAef11I=")</f>
        <v>#VALUE!</v>
      </c>
      <c r="CF3" t="e">
        <f>AND(hydraul!B15,"AAAAAAef11M=")</f>
        <v>#VALUE!</v>
      </c>
      <c r="CG3" t="e">
        <f>AND(hydraul!C15,"AAAAAAef11Q=")</f>
        <v>#VALUE!</v>
      </c>
      <c r="CH3" t="e">
        <f>AND(hydraul!D15,"AAAAAAef11U=")</f>
        <v>#VALUE!</v>
      </c>
      <c r="CI3" t="e">
        <f>AND(hydraul!E15,"AAAAAAef11Y=")</f>
        <v>#VALUE!</v>
      </c>
      <c r="CJ3" t="e">
        <f>AND(hydraul!F15,"AAAAAAef11c=")</f>
        <v>#VALUE!</v>
      </c>
      <c r="CK3" t="e">
        <f>AND(hydraul!G15,"AAAAAAef11g=")</f>
        <v>#VALUE!</v>
      </c>
      <c r="CL3" t="e">
        <f>AND(hydraul!H15,"AAAAAAef11k=")</f>
        <v>#VALUE!</v>
      </c>
      <c r="CM3">
        <f>IF(hydraul!16:16,"AAAAAAef11o=",0)</f>
        <v>0</v>
      </c>
      <c r="CN3" t="e">
        <f>AND(hydraul!A16,"AAAAAAef11s=")</f>
        <v>#VALUE!</v>
      </c>
      <c r="CO3" t="e">
        <f>AND(hydraul!B16,"AAAAAAef11w=")</f>
        <v>#VALUE!</v>
      </c>
      <c r="CP3" t="e">
        <f>AND(hydraul!C16,"AAAAAAef110=")</f>
        <v>#VALUE!</v>
      </c>
      <c r="CQ3" t="e">
        <f>AND(hydraul!D16,"AAAAAAef114=")</f>
        <v>#VALUE!</v>
      </c>
      <c r="CR3" t="e">
        <f>AND(hydraul!E16,"AAAAAAef118=")</f>
        <v>#VALUE!</v>
      </c>
      <c r="CS3" t="e">
        <f>AND(hydraul!F16,"AAAAAAef12A=")</f>
        <v>#VALUE!</v>
      </c>
      <c r="CT3" t="e">
        <f>AND(hydraul!G16,"AAAAAAef12E=")</f>
        <v>#VALUE!</v>
      </c>
      <c r="CU3" t="e">
        <f>AND(hydraul!H16,"AAAAAAef12I=")</f>
        <v>#VALUE!</v>
      </c>
      <c r="CV3">
        <f>IF(hydraul!17:17,"AAAAAAef12M=",0)</f>
        <v>0</v>
      </c>
      <c r="CW3" t="e">
        <f>AND(hydraul!A17,"AAAAAAef12Q=")</f>
        <v>#VALUE!</v>
      </c>
      <c r="CX3" t="e">
        <f>AND(hydraul!B17,"AAAAAAef12U=")</f>
        <v>#VALUE!</v>
      </c>
      <c r="CY3" t="e">
        <f>AND(hydraul!C17,"AAAAAAef12Y=")</f>
        <v>#VALUE!</v>
      </c>
      <c r="CZ3" t="e">
        <f>AND(hydraul!D17,"AAAAAAef12c=")</f>
        <v>#VALUE!</v>
      </c>
      <c r="DA3" t="e">
        <f>AND(hydraul!E17,"AAAAAAef12g=")</f>
        <v>#VALUE!</v>
      </c>
      <c r="DB3" t="e">
        <f>AND(hydraul!F17,"AAAAAAef12k=")</f>
        <v>#VALUE!</v>
      </c>
      <c r="DC3" t="e">
        <f>AND(hydraul!G17,"AAAAAAef12o=")</f>
        <v>#VALUE!</v>
      </c>
      <c r="DD3" t="e">
        <f>AND(hydraul!H17,"AAAAAAef12s=")</f>
        <v>#VALUE!</v>
      </c>
      <c r="DE3">
        <f>IF(hydraul!18:18,"AAAAAAef12w=",0)</f>
        <v>0</v>
      </c>
      <c r="DF3" t="e">
        <f>AND(hydraul!A18,"AAAAAAef120=")</f>
        <v>#VALUE!</v>
      </c>
      <c r="DG3" t="e">
        <f>AND(hydraul!B18,"AAAAAAef124=")</f>
        <v>#VALUE!</v>
      </c>
      <c r="DH3" t="e">
        <f>AND(hydraul!C18,"AAAAAAef128=")</f>
        <v>#VALUE!</v>
      </c>
      <c r="DI3" t="e">
        <f>AND(hydraul!D18,"AAAAAAef13A=")</f>
        <v>#VALUE!</v>
      </c>
      <c r="DJ3" t="e">
        <f>AND(hydraul!E18,"AAAAAAef13E=")</f>
        <v>#VALUE!</v>
      </c>
      <c r="DK3" t="e">
        <f>AND(hydraul!F18,"AAAAAAef13I=")</f>
        <v>#VALUE!</v>
      </c>
      <c r="DL3" t="e">
        <f>AND(hydraul!G18,"AAAAAAef13M=")</f>
        <v>#VALUE!</v>
      </c>
      <c r="DM3" t="e">
        <f>AND(hydraul!H18,"AAAAAAef13Q=")</f>
        <v>#VALUE!</v>
      </c>
      <c r="DN3">
        <f>IF(hydraul!19:19,"AAAAAAef13U=",0)</f>
        <v>0</v>
      </c>
      <c r="DO3" t="e">
        <f>AND(hydraul!A19,"AAAAAAef13Y=")</f>
        <v>#VALUE!</v>
      </c>
      <c r="DP3" t="e">
        <f>AND(hydraul!B19,"AAAAAAef13c=")</f>
        <v>#VALUE!</v>
      </c>
      <c r="DQ3" t="e">
        <f>AND(hydraul!C19,"AAAAAAef13g=")</f>
        <v>#VALUE!</v>
      </c>
      <c r="DR3" t="e">
        <f>AND(hydraul!D19,"AAAAAAef13k=")</f>
        <v>#VALUE!</v>
      </c>
      <c r="DS3" t="e">
        <f>AND(hydraul!E19,"AAAAAAef13o=")</f>
        <v>#VALUE!</v>
      </c>
      <c r="DT3" t="e">
        <f>AND(hydraul!F19,"AAAAAAef13s=")</f>
        <v>#VALUE!</v>
      </c>
      <c r="DU3" t="e">
        <f>AND(hydraul!G19,"AAAAAAef13w=")</f>
        <v>#VALUE!</v>
      </c>
      <c r="DV3" t="e">
        <f>AND(hydraul!H19,"AAAAAAef130=")</f>
        <v>#VALUE!</v>
      </c>
      <c r="DW3">
        <f>IF(hydraul!20:20,"AAAAAAef134=",0)</f>
        <v>0</v>
      </c>
      <c r="DX3" t="e">
        <f>AND(hydraul!A20,"AAAAAAef138=")</f>
        <v>#VALUE!</v>
      </c>
      <c r="DY3" t="e">
        <f>AND(hydraul!B20,"AAAAAAef14A=")</f>
        <v>#VALUE!</v>
      </c>
      <c r="DZ3" t="e">
        <f>AND(hydraul!C20,"AAAAAAef14E=")</f>
        <v>#VALUE!</v>
      </c>
      <c r="EA3" t="e">
        <f>AND(hydraul!D20,"AAAAAAef14I=")</f>
        <v>#VALUE!</v>
      </c>
      <c r="EB3" t="e">
        <f>AND(hydraul!E20,"AAAAAAef14M=")</f>
        <v>#VALUE!</v>
      </c>
      <c r="EC3" t="e">
        <f>AND(hydraul!F20,"AAAAAAef14Q=")</f>
        <v>#VALUE!</v>
      </c>
      <c r="ED3" t="e">
        <f>AND(hydraul!G20,"AAAAAAef14U=")</f>
        <v>#VALUE!</v>
      </c>
      <c r="EE3" t="e">
        <f>AND(hydraul!H20,"AAAAAAef14Y=")</f>
        <v>#VALUE!</v>
      </c>
      <c r="EF3">
        <f>IF(hydraul!21:21,"AAAAAAef14c=",0)</f>
        <v>0</v>
      </c>
      <c r="EG3" t="e">
        <f>AND(hydraul!A21,"AAAAAAef14g=")</f>
        <v>#VALUE!</v>
      </c>
      <c r="EH3" t="e">
        <f>AND(hydraul!B21,"AAAAAAef14k=")</f>
        <v>#VALUE!</v>
      </c>
      <c r="EI3" t="e">
        <f>AND(hydraul!C21,"AAAAAAef14o=")</f>
        <v>#VALUE!</v>
      </c>
      <c r="EJ3" t="e">
        <f>AND(hydraul!D21,"AAAAAAef14s=")</f>
        <v>#VALUE!</v>
      </c>
      <c r="EK3" t="e">
        <f>AND(hydraul!E21,"AAAAAAef14w=")</f>
        <v>#VALUE!</v>
      </c>
      <c r="EL3" t="e">
        <f>AND(hydraul!F21,"AAAAAAef140=")</f>
        <v>#VALUE!</v>
      </c>
      <c r="EM3" t="e">
        <f>AND(hydraul!G21,"AAAAAAef144=")</f>
        <v>#VALUE!</v>
      </c>
      <c r="EN3" t="e">
        <f>AND(hydraul!H21,"AAAAAAef148=")</f>
        <v>#VALUE!</v>
      </c>
      <c r="EO3">
        <f>IF(hydraul!22:22,"AAAAAAef15A=",0)</f>
        <v>0</v>
      </c>
      <c r="EP3" t="e">
        <f>AND(hydraul!A22,"AAAAAAef15E=")</f>
        <v>#VALUE!</v>
      </c>
      <c r="EQ3" t="e">
        <f>AND(hydraul!B22,"AAAAAAef15I=")</f>
        <v>#VALUE!</v>
      </c>
      <c r="ER3" t="e">
        <f>AND(hydraul!C22,"AAAAAAef15M=")</f>
        <v>#VALUE!</v>
      </c>
      <c r="ES3" t="e">
        <f>AND(hydraul!D22,"AAAAAAef15Q=")</f>
        <v>#VALUE!</v>
      </c>
      <c r="ET3" t="e">
        <f>AND(hydraul!E22,"AAAAAAef15U=")</f>
        <v>#VALUE!</v>
      </c>
      <c r="EU3" t="e">
        <f>AND(hydraul!F22,"AAAAAAef15Y=")</f>
        <v>#VALUE!</v>
      </c>
      <c r="EV3" t="e">
        <f>AND(hydraul!G22,"AAAAAAef15c=")</f>
        <v>#VALUE!</v>
      </c>
      <c r="EW3" t="e">
        <f>AND(hydraul!H22,"AAAAAAef15g=")</f>
        <v>#VALUE!</v>
      </c>
      <c r="EX3">
        <f>IF(hydraul!23:23,"AAAAAAef15k=",0)</f>
        <v>0</v>
      </c>
      <c r="EY3" t="e">
        <f>AND(hydraul!A23,"AAAAAAef15o=")</f>
        <v>#VALUE!</v>
      </c>
      <c r="EZ3" t="e">
        <f>AND(hydraul!B23,"AAAAAAef15s=")</f>
        <v>#VALUE!</v>
      </c>
      <c r="FA3" t="e">
        <f>AND(hydraul!C23,"AAAAAAef15w=")</f>
        <v>#VALUE!</v>
      </c>
      <c r="FB3" t="e">
        <f>AND(hydraul!D23,"AAAAAAef150=")</f>
        <v>#VALUE!</v>
      </c>
      <c r="FC3" t="e">
        <f>AND(hydraul!E23,"AAAAAAef154=")</f>
        <v>#VALUE!</v>
      </c>
      <c r="FD3" t="e">
        <f>AND(hydraul!F23,"AAAAAAef158=")</f>
        <v>#VALUE!</v>
      </c>
      <c r="FE3" t="e">
        <f>AND(hydraul!G23,"AAAAAAef16A=")</f>
        <v>#VALUE!</v>
      </c>
      <c r="FF3" t="e">
        <f>AND(hydraul!H23,"AAAAAAef16E=")</f>
        <v>#VALUE!</v>
      </c>
      <c r="FG3">
        <f>IF(hydraul!24:24,"AAAAAAef16I=",0)</f>
        <v>0</v>
      </c>
      <c r="FH3" t="e">
        <f>AND(hydraul!A24,"AAAAAAef16M=")</f>
        <v>#VALUE!</v>
      </c>
      <c r="FI3" t="e">
        <f>AND(hydraul!B24,"AAAAAAef16Q=")</f>
        <v>#VALUE!</v>
      </c>
      <c r="FJ3" t="e">
        <f>AND(hydraul!C24,"AAAAAAef16U=")</f>
        <v>#VALUE!</v>
      </c>
      <c r="FK3" t="e">
        <f>AND(hydraul!D24,"AAAAAAef16Y=")</f>
        <v>#VALUE!</v>
      </c>
      <c r="FL3" t="e">
        <f>AND(hydraul!E24,"AAAAAAef16c=")</f>
        <v>#VALUE!</v>
      </c>
      <c r="FM3" t="e">
        <f>AND(hydraul!F24,"AAAAAAef16g=")</f>
        <v>#VALUE!</v>
      </c>
      <c r="FN3" t="e">
        <f>AND(hydraul!G24,"AAAAAAef16k=")</f>
        <v>#VALUE!</v>
      </c>
      <c r="FO3" t="e">
        <f>AND(hydraul!H24,"AAAAAAef16o=")</f>
        <v>#VALUE!</v>
      </c>
      <c r="FP3">
        <f>IF(hydraul!25:25,"AAAAAAef16s=",0)</f>
        <v>0</v>
      </c>
      <c r="FQ3" t="e">
        <f>AND(hydraul!A25,"AAAAAAef16w=")</f>
        <v>#VALUE!</v>
      </c>
      <c r="FR3" t="e">
        <f>AND(hydraul!B25,"AAAAAAef160=")</f>
        <v>#VALUE!</v>
      </c>
      <c r="FS3" t="e">
        <f>AND(hydraul!C25,"AAAAAAef164=")</f>
        <v>#VALUE!</v>
      </c>
      <c r="FT3" t="e">
        <f>AND(hydraul!D25,"AAAAAAef168=")</f>
        <v>#VALUE!</v>
      </c>
      <c r="FU3" t="e">
        <f>AND(hydraul!E25,"AAAAAAef17A=")</f>
        <v>#VALUE!</v>
      </c>
      <c r="FV3" t="e">
        <f>AND(hydraul!F25,"AAAAAAef17E=")</f>
        <v>#VALUE!</v>
      </c>
      <c r="FW3" t="e">
        <f>AND(hydraul!G25,"AAAAAAef17I=")</f>
        <v>#VALUE!</v>
      </c>
      <c r="FX3" t="e">
        <f>AND(hydraul!H25,"AAAAAAef17M=")</f>
        <v>#VALUE!</v>
      </c>
      <c r="FY3" t="e">
        <f>IF(hydraul!A:A,"AAAAAAef17Q=",0)</f>
        <v>#VALUE!</v>
      </c>
      <c r="FZ3" t="e">
        <f>IF(hydraul!B:B,"AAAAAAef17U=",0)</f>
        <v>#VALUE!</v>
      </c>
      <c r="GA3" t="e">
        <f>IF(hydraul!C:C,"AAAAAAef17Y=",0)</f>
        <v>#VALUE!</v>
      </c>
      <c r="GB3">
        <f>IF(hydraul!D:D,"AAAAAAef17c=",0)</f>
        <v>0</v>
      </c>
      <c r="GC3" t="e">
        <f>IF(hydraul!E:E,"AAAAAAef17g=",0)</f>
        <v>#VALUE!</v>
      </c>
      <c r="GD3" t="e">
        <f>IF(hydraul!F:F,"AAAAAAef17k=",0)</f>
        <v>#VALUE!</v>
      </c>
      <c r="GE3" t="e">
        <f>IF(hydraul!G:G,"AAAAAAef17o=",0)</f>
        <v>#VALUE!</v>
      </c>
      <c r="GF3" t="e">
        <f>IF(hydraul!H:H,"AAAAAAef17s=",0)</f>
        <v>#VALUE!</v>
      </c>
      <c r="GG3">
        <f>IF(Data!1:1,"AAAAAAef17w=",0)</f>
        <v>0</v>
      </c>
      <c r="GH3" t="e">
        <f>AND(Data!A1,"AAAAAAef170=")</f>
        <v>#VALUE!</v>
      </c>
      <c r="GI3" t="e">
        <f>AND(Data!B1,"AAAAAAef174=")</f>
        <v>#VALUE!</v>
      </c>
      <c r="GJ3" t="e">
        <f>AND(Data!C1,"AAAAAAef178=")</f>
        <v>#VALUE!</v>
      </c>
      <c r="GK3" t="e">
        <f>AND(Data!D1,"AAAAAAef18A=")</f>
        <v>#VALUE!</v>
      </c>
      <c r="GL3" t="e">
        <f>AND(Data!E1,"AAAAAAef18E=")</f>
        <v>#VALUE!</v>
      </c>
      <c r="GM3" t="e">
        <f>AND(Data!F1,"AAAAAAef18I=")</f>
        <v>#VALUE!</v>
      </c>
      <c r="GN3" t="e">
        <f>AND(Data!G1,"AAAAAAef18M=")</f>
        <v>#VALUE!</v>
      </c>
      <c r="GO3" t="e">
        <f>AND(Data!H1,"AAAAAAef18Q=")</f>
        <v>#VALUE!</v>
      </c>
      <c r="GP3" t="e">
        <f>AND(Data!I1,"AAAAAAef18U=")</f>
        <v>#VALUE!</v>
      </c>
      <c r="GQ3" t="e">
        <f>AND(Data!J1,"AAAAAAef18Y=")</f>
        <v>#VALUE!</v>
      </c>
      <c r="GR3" t="e">
        <f>AND(Data!K1,"AAAAAAef18c=")</f>
        <v>#VALUE!</v>
      </c>
      <c r="GS3" t="e">
        <f>AND(Data!L1,"AAAAAAef18g=")</f>
        <v>#VALUE!</v>
      </c>
      <c r="GT3" t="e">
        <f>AND(Data!M1,"AAAAAAef18k=")</f>
        <v>#VALUE!</v>
      </c>
      <c r="GU3" t="e">
        <f>AND(Data!N1,"AAAAAAef18o=")</f>
        <v>#VALUE!</v>
      </c>
      <c r="GV3" t="e">
        <f>AND(Data!O1,"AAAAAAef18s=")</f>
        <v>#VALUE!</v>
      </c>
      <c r="GW3" t="e">
        <f>AND(Data!P1,"AAAAAAef18w=")</f>
        <v>#VALUE!</v>
      </c>
      <c r="GX3" t="e">
        <f>AND(Data!Q1,"AAAAAAef180=")</f>
        <v>#VALUE!</v>
      </c>
      <c r="GY3" t="e">
        <f>AND(Data!#REF!,"AAAAAAef184=")</f>
        <v>#REF!</v>
      </c>
      <c r="GZ3" t="e">
        <f>AND(Data!#REF!,"AAAAAAef188=")</f>
        <v>#REF!</v>
      </c>
      <c r="HA3" t="e">
        <f>AND(Data!#REF!,"AAAAAAef19A=")</f>
        <v>#REF!</v>
      </c>
      <c r="HB3" t="e">
        <f>AND(Data!#REF!,"AAAAAAef19E=")</f>
        <v>#REF!</v>
      </c>
      <c r="HC3" t="e">
        <f>AND(Data!#REF!,"AAAAAAef19I=")</f>
        <v>#REF!</v>
      </c>
      <c r="HD3" t="e">
        <f>AND(Data!#REF!,"AAAAAAef19M=")</f>
        <v>#REF!</v>
      </c>
      <c r="HE3" t="e">
        <f>AND(Data!#REF!,"AAAAAAef19Q=")</f>
        <v>#REF!</v>
      </c>
      <c r="HF3" t="e">
        <f>AND(Data!#REF!,"AAAAAAef19U=")</f>
        <v>#REF!</v>
      </c>
      <c r="HG3" t="e">
        <f>AND(Data!#REF!,"AAAAAAef19Y=")</f>
        <v>#REF!</v>
      </c>
      <c r="HH3" t="e">
        <f>AND(Data!#REF!,"AAAAAAef19c=")</f>
        <v>#REF!</v>
      </c>
      <c r="HI3">
        <f>IF(Data!2:2,"AAAAAAef19g=",0)</f>
        <v>0</v>
      </c>
      <c r="HJ3" t="e">
        <f>AND(Data!A2,"AAAAAAef19k=")</f>
        <v>#VALUE!</v>
      </c>
      <c r="HK3" t="e">
        <f>AND(Data!B2,"AAAAAAef19o=")</f>
        <v>#VALUE!</v>
      </c>
      <c r="HL3" t="e">
        <f>AND(Data!C2,"AAAAAAef19s=")</f>
        <v>#VALUE!</v>
      </c>
      <c r="HM3" t="e">
        <f>AND(Data!D2,"AAAAAAef19w=")</f>
        <v>#VALUE!</v>
      </c>
      <c r="HN3" t="e">
        <f>AND(Data!E2,"AAAAAAef190=")</f>
        <v>#VALUE!</v>
      </c>
      <c r="HO3" t="e">
        <f>AND(Data!F2,"AAAAAAef194=")</f>
        <v>#VALUE!</v>
      </c>
      <c r="HP3" t="e">
        <f>AND(Data!G2,"AAAAAAef198=")</f>
        <v>#VALUE!</v>
      </c>
      <c r="HQ3" t="e">
        <f>AND(Data!H2,"AAAAAAef1+A=")</f>
        <v>#VALUE!</v>
      </c>
      <c r="HR3" t="e">
        <f>AND(Data!I2,"AAAAAAef1+E=")</f>
        <v>#VALUE!</v>
      </c>
      <c r="HS3" t="e">
        <f>AND(Data!J2,"AAAAAAef1+I=")</f>
        <v>#VALUE!</v>
      </c>
      <c r="HT3" t="e">
        <f>AND(Data!K2,"AAAAAAef1+M=")</f>
        <v>#VALUE!</v>
      </c>
      <c r="HU3" t="e">
        <f>AND(Data!L2,"AAAAAAef1+Q=")</f>
        <v>#VALUE!</v>
      </c>
      <c r="HV3" t="e">
        <f>AND(Data!M2,"AAAAAAef1+U=")</f>
        <v>#VALUE!</v>
      </c>
      <c r="HW3" t="e">
        <f>AND(Data!N2,"AAAAAAef1+Y=")</f>
        <v>#VALUE!</v>
      </c>
      <c r="HX3" t="e">
        <f>AND(Data!O2,"AAAAAAef1+c=")</f>
        <v>#VALUE!</v>
      </c>
      <c r="HY3" t="e">
        <f>AND(Data!P2,"AAAAAAef1+g=")</f>
        <v>#VALUE!</v>
      </c>
      <c r="HZ3" t="e">
        <f>AND(Data!Q2,"AAAAAAef1+k=")</f>
        <v>#VALUE!</v>
      </c>
      <c r="IA3" t="e">
        <f>AND(Data!#REF!,"AAAAAAef1+o=")</f>
        <v>#REF!</v>
      </c>
      <c r="IB3" t="e">
        <f>AND(Data!#REF!,"AAAAAAef1+s=")</f>
        <v>#REF!</v>
      </c>
      <c r="IC3" t="e">
        <f>AND(Data!#REF!,"AAAAAAef1+w=")</f>
        <v>#REF!</v>
      </c>
      <c r="ID3" t="e">
        <f>AND(Data!#REF!,"AAAAAAef1+0=")</f>
        <v>#REF!</v>
      </c>
      <c r="IE3" t="e">
        <f>AND(Data!#REF!,"AAAAAAef1+4=")</f>
        <v>#REF!</v>
      </c>
      <c r="IF3" t="e">
        <f>AND(Data!#REF!,"AAAAAAef1+8=")</f>
        <v>#REF!</v>
      </c>
      <c r="IG3" t="e">
        <f>AND(Data!#REF!,"AAAAAAef1/A=")</f>
        <v>#REF!</v>
      </c>
      <c r="IH3" t="e">
        <f>AND(Data!#REF!,"AAAAAAef1/E=")</f>
        <v>#REF!</v>
      </c>
      <c r="II3" t="e">
        <f>AND(Data!#REF!,"AAAAAAef1/I=")</f>
        <v>#REF!</v>
      </c>
      <c r="IJ3" t="e">
        <f>AND(Data!#REF!,"AAAAAAef1/M=")</f>
        <v>#REF!</v>
      </c>
      <c r="IK3">
        <f>IF(Data!3:3,"AAAAAAef1/Q=",0)</f>
        <v>0</v>
      </c>
      <c r="IL3" t="e">
        <f>AND(Data!A3,"AAAAAAef1/U=")</f>
        <v>#VALUE!</v>
      </c>
      <c r="IM3" t="e">
        <f>AND(Data!B3,"AAAAAAef1/Y=")</f>
        <v>#VALUE!</v>
      </c>
      <c r="IN3" t="e">
        <f>AND(Data!C3,"AAAAAAef1/c=")</f>
        <v>#VALUE!</v>
      </c>
      <c r="IO3" t="e">
        <f>AND(Data!D3,"AAAAAAef1/g=")</f>
        <v>#VALUE!</v>
      </c>
      <c r="IP3" t="e">
        <f>AND(Data!E3,"AAAAAAef1/k=")</f>
        <v>#VALUE!</v>
      </c>
      <c r="IQ3" t="e">
        <f>AND(Data!F3,"AAAAAAef1/o=")</f>
        <v>#VALUE!</v>
      </c>
      <c r="IR3" t="e">
        <f>AND(Data!G3,"AAAAAAef1/s=")</f>
        <v>#VALUE!</v>
      </c>
      <c r="IS3" t="e">
        <f>AND(Data!H3,"AAAAAAef1/w=")</f>
        <v>#VALUE!</v>
      </c>
      <c r="IT3" t="e">
        <f>AND(Data!I3,"AAAAAAef1/0=")</f>
        <v>#VALUE!</v>
      </c>
      <c r="IU3" t="e">
        <f>AND(Data!J3,"AAAAAAef1/4=")</f>
        <v>#VALUE!</v>
      </c>
      <c r="IV3" t="e">
        <f>AND(Data!K3,"AAAAAAef1/8=")</f>
        <v>#VALUE!</v>
      </c>
    </row>
    <row r="4" spans="1:256">
      <c r="A4" t="e">
        <f>AND(Data!L3,"AAAAADXd/wA=")</f>
        <v>#VALUE!</v>
      </c>
      <c r="B4" t="e">
        <f>AND(Data!M3,"AAAAADXd/wE=")</f>
        <v>#VALUE!</v>
      </c>
      <c r="C4" t="e">
        <f>AND(Data!N3,"AAAAADXd/wI=")</f>
        <v>#VALUE!</v>
      </c>
      <c r="D4" t="e">
        <f>AND(Data!O3,"AAAAADXd/wM=")</f>
        <v>#VALUE!</v>
      </c>
      <c r="E4" t="e">
        <f>AND(Data!P3,"AAAAADXd/wQ=")</f>
        <v>#VALUE!</v>
      </c>
      <c r="F4" t="e">
        <f>AND(Data!Q3,"AAAAADXd/wU=")</f>
        <v>#VALUE!</v>
      </c>
      <c r="G4" t="e">
        <f>AND(Data!#REF!,"AAAAADXd/wY=")</f>
        <v>#REF!</v>
      </c>
      <c r="H4" t="e">
        <f>AND(Data!#REF!,"AAAAADXd/wc=")</f>
        <v>#REF!</v>
      </c>
      <c r="I4" t="e">
        <f>AND(Data!#REF!,"AAAAADXd/wg=")</f>
        <v>#REF!</v>
      </c>
      <c r="J4" t="e">
        <f>AND(Data!#REF!,"AAAAADXd/wk=")</f>
        <v>#REF!</v>
      </c>
      <c r="K4" t="e">
        <f>AND(Data!#REF!,"AAAAADXd/wo=")</f>
        <v>#REF!</v>
      </c>
      <c r="L4" t="e">
        <f>AND(Data!#REF!,"AAAAADXd/ws=")</f>
        <v>#REF!</v>
      </c>
      <c r="M4" t="e">
        <f>AND(Data!#REF!,"AAAAADXd/ww=")</f>
        <v>#REF!</v>
      </c>
      <c r="N4" t="e">
        <f>AND(Data!#REF!,"AAAAADXd/w0=")</f>
        <v>#REF!</v>
      </c>
      <c r="O4" t="e">
        <f>AND(Data!#REF!,"AAAAADXd/w4=")</f>
        <v>#REF!</v>
      </c>
      <c r="P4" t="e">
        <f>AND(Data!#REF!,"AAAAADXd/w8=")</f>
        <v>#REF!</v>
      </c>
      <c r="Q4">
        <f>IF(Data!4:4,"AAAAADXd/xA=",0)</f>
        <v>0</v>
      </c>
      <c r="R4" t="e">
        <f>AND(Data!A4,"AAAAADXd/xE=")</f>
        <v>#VALUE!</v>
      </c>
      <c r="S4" t="e">
        <f>AND(Data!B4,"AAAAADXd/xI=")</f>
        <v>#VALUE!</v>
      </c>
      <c r="T4" t="e">
        <f>AND(Data!C4,"AAAAADXd/xM=")</f>
        <v>#VALUE!</v>
      </c>
      <c r="U4" t="e">
        <f>AND(Data!D4,"AAAAADXd/xQ=")</f>
        <v>#VALUE!</v>
      </c>
      <c r="V4" t="e">
        <f>AND(Data!E4,"AAAAADXd/xU=")</f>
        <v>#VALUE!</v>
      </c>
      <c r="W4" t="e">
        <f>AND(Data!F4,"AAAAADXd/xY=")</f>
        <v>#VALUE!</v>
      </c>
      <c r="X4" t="e">
        <f>AND(Data!G4,"AAAAADXd/xc=")</f>
        <v>#VALUE!</v>
      </c>
      <c r="Y4" t="e">
        <f>AND(Data!H4,"AAAAADXd/xg=")</f>
        <v>#VALUE!</v>
      </c>
      <c r="Z4" t="e">
        <f>AND(Data!I4,"AAAAADXd/xk=")</f>
        <v>#VALUE!</v>
      </c>
      <c r="AA4" t="e">
        <f>AND(Data!J4,"AAAAADXd/xo=")</f>
        <v>#VALUE!</v>
      </c>
      <c r="AB4" t="e">
        <f>AND(Data!K4,"AAAAADXd/xs=")</f>
        <v>#VALUE!</v>
      </c>
      <c r="AC4" t="e">
        <f>AND(Data!L4,"AAAAADXd/xw=")</f>
        <v>#VALUE!</v>
      </c>
      <c r="AD4" t="e">
        <f>AND(Data!M4,"AAAAADXd/x0=")</f>
        <v>#VALUE!</v>
      </c>
      <c r="AE4" t="e">
        <f>AND(Data!N4,"AAAAADXd/x4=")</f>
        <v>#VALUE!</v>
      </c>
      <c r="AF4" t="e">
        <f>AND(Data!O4,"AAAAADXd/x8=")</f>
        <v>#VALUE!</v>
      </c>
      <c r="AG4" t="e">
        <f>AND(Data!P4,"AAAAADXd/yA=")</f>
        <v>#VALUE!</v>
      </c>
      <c r="AH4" t="e">
        <f>AND(Data!Q4,"AAAAADXd/yE=")</f>
        <v>#VALUE!</v>
      </c>
      <c r="AI4" t="e">
        <f>AND(Data!#REF!,"AAAAADXd/yI=")</f>
        <v>#REF!</v>
      </c>
      <c r="AJ4" t="e">
        <f>AND(Data!#REF!,"AAAAADXd/yM=")</f>
        <v>#REF!</v>
      </c>
      <c r="AK4" t="e">
        <f>AND(Data!#REF!,"AAAAADXd/yQ=")</f>
        <v>#REF!</v>
      </c>
      <c r="AL4" t="e">
        <f>AND(Data!#REF!,"AAAAADXd/yU=")</f>
        <v>#REF!</v>
      </c>
      <c r="AM4" t="e">
        <f>AND(Data!#REF!,"AAAAADXd/yY=")</f>
        <v>#REF!</v>
      </c>
      <c r="AN4" t="e">
        <f>AND(Data!#REF!,"AAAAADXd/yc=")</f>
        <v>#REF!</v>
      </c>
      <c r="AO4" t="e">
        <f>AND(Data!#REF!,"AAAAADXd/yg=")</f>
        <v>#REF!</v>
      </c>
      <c r="AP4" t="e">
        <f>AND(Data!#REF!,"AAAAADXd/yk=")</f>
        <v>#REF!</v>
      </c>
      <c r="AQ4" t="e">
        <f>AND(Data!#REF!,"AAAAADXd/yo=")</f>
        <v>#REF!</v>
      </c>
      <c r="AR4" t="e">
        <f>AND(Data!#REF!,"AAAAADXd/ys=")</f>
        <v>#REF!</v>
      </c>
      <c r="AS4">
        <f>IF(Data!5:5,"AAAAADXd/yw=",0)</f>
        <v>0</v>
      </c>
      <c r="AT4" t="e">
        <f>AND(Data!A5,"AAAAADXd/y0=")</f>
        <v>#VALUE!</v>
      </c>
      <c r="AU4" t="e">
        <f>AND(Data!B5,"AAAAADXd/y4=")</f>
        <v>#VALUE!</v>
      </c>
      <c r="AV4" t="e">
        <f>AND(Data!C5,"AAAAADXd/y8=")</f>
        <v>#VALUE!</v>
      </c>
      <c r="AW4" t="e">
        <f>AND(Data!D5,"AAAAADXd/zA=")</f>
        <v>#VALUE!</v>
      </c>
      <c r="AX4" t="e">
        <f>AND(Data!E5,"AAAAADXd/zE=")</f>
        <v>#VALUE!</v>
      </c>
      <c r="AY4" t="e">
        <f>AND(Data!F5,"AAAAADXd/zI=")</f>
        <v>#VALUE!</v>
      </c>
      <c r="AZ4" t="e">
        <f>AND(Data!G5,"AAAAADXd/zM=")</f>
        <v>#VALUE!</v>
      </c>
      <c r="BA4" t="e">
        <f>AND(Data!H5,"AAAAADXd/zQ=")</f>
        <v>#VALUE!</v>
      </c>
      <c r="BB4" t="e">
        <f>AND(Data!I5,"AAAAADXd/zU=")</f>
        <v>#VALUE!</v>
      </c>
      <c r="BC4" t="e">
        <f>AND(Data!J5,"AAAAADXd/zY=")</f>
        <v>#VALUE!</v>
      </c>
      <c r="BD4" t="e">
        <f>AND(Data!K5,"AAAAADXd/zc=")</f>
        <v>#VALUE!</v>
      </c>
      <c r="BE4" t="e">
        <f>AND(Data!L5,"AAAAADXd/zg=")</f>
        <v>#VALUE!</v>
      </c>
      <c r="BF4" t="e">
        <f>AND(Data!M5,"AAAAADXd/zk=")</f>
        <v>#VALUE!</v>
      </c>
      <c r="BG4" t="e">
        <f>AND(Data!N5,"AAAAADXd/zo=")</f>
        <v>#VALUE!</v>
      </c>
      <c r="BH4" t="e">
        <f>AND(Data!O5,"AAAAADXd/zs=")</f>
        <v>#VALUE!</v>
      </c>
      <c r="BI4" t="e">
        <f>AND(Data!P5,"AAAAADXd/zw=")</f>
        <v>#VALUE!</v>
      </c>
      <c r="BJ4" t="e">
        <f>AND(Data!Q5,"AAAAADXd/z0=")</f>
        <v>#VALUE!</v>
      </c>
      <c r="BK4" t="e">
        <f>AND(Data!#REF!,"AAAAADXd/z4=")</f>
        <v>#REF!</v>
      </c>
      <c r="BL4" t="e">
        <f>AND(Data!#REF!,"AAAAADXd/z8=")</f>
        <v>#REF!</v>
      </c>
      <c r="BM4" t="e">
        <f>AND(Data!#REF!,"AAAAADXd/0A=")</f>
        <v>#REF!</v>
      </c>
      <c r="BN4" t="e">
        <f>AND(Data!#REF!,"AAAAADXd/0E=")</f>
        <v>#REF!</v>
      </c>
      <c r="BO4" t="e">
        <f>AND(Data!#REF!,"AAAAADXd/0I=")</f>
        <v>#REF!</v>
      </c>
      <c r="BP4" t="e">
        <f>AND(Data!#REF!,"AAAAADXd/0M=")</f>
        <v>#REF!</v>
      </c>
      <c r="BQ4" t="e">
        <f>AND(Data!#REF!,"AAAAADXd/0Q=")</f>
        <v>#REF!</v>
      </c>
      <c r="BR4" t="e">
        <f>AND(Data!#REF!,"AAAAADXd/0U=")</f>
        <v>#REF!</v>
      </c>
      <c r="BS4" t="e">
        <f>AND(Data!#REF!,"AAAAADXd/0Y=")</f>
        <v>#REF!</v>
      </c>
      <c r="BT4" t="e">
        <f>AND(Data!#REF!,"AAAAADXd/0c=")</f>
        <v>#REF!</v>
      </c>
      <c r="BU4">
        <f>IF(Data!6:6,"AAAAADXd/0g=",0)</f>
        <v>0</v>
      </c>
      <c r="BV4" t="e">
        <f>AND(Data!A6,"AAAAADXd/0k=")</f>
        <v>#VALUE!</v>
      </c>
      <c r="BW4" t="e">
        <f>AND(Data!B6,"AAAAADXd/0o=")</f>
        <v>#VALUE!</v>
      </c>
      <c r="BX4" t="e">
        <f>AND(Data!C6,"AAAAADXd/0s=")</f>
        <v>#VALUE!</v>
      </c>
      <c r="BY4" t="e">
        <f>AND(Data!D6,"AAAAADXd/0w=")</f>
        <v>#VALUE!</v>
      </c>
      <c r="BZ4" t="e">
        <f>AND(Data!E6,"AAAAADXd/00=")</f>
        <v>#VALUE!</v>
      </c>
      <c r="CA4" t="e">
        <f>AND(Data!F6,"AAAAADXd/04=")</f>
        <v>#VALUE!</v>
      </c>
      <c r="CB4" t="e">
        <f>AND(Data!G6,"AAAAADXd/08=")</f>
        <v>#VALUE!</v>
      </c>
      <c r="CC4" t="e">
        <f>AND(Data!H6,"AAAAADXd/1A=")</f>
        <v>#VALUE!</v>
      </c>
      <c r="CD4" t="e">
        <f>AND(Data!I6,"AAAAADXd/1E=")</f>
        <v>#VALUE!</v>
      </c>
      <c r="CE4" t="e">
        <f>AND(Data!J6,"AAAAADXd/1I=")</f>
        <v>#VALUE!</v>
      </c>
      <c r="CF4" t="e">
        <f>AND(Data!K6,"AAAAADXd/1M=")</f>
        <v>#VALUE!</v>
      </c>
      <c r="CG4" t="e">
        <f>AND(Data!L6,"AAAAADXd/1Q=")</f>
        <v>#VALUE!</v>
      </c>
      <c r="CH4" t="e">
        <f>AND(Data!M6,"AAAAADXd/1U=")</f>
        <v>#VALUE!</v>
      </c>
      <c r="CI4" t="e">
        <f>AND(Data!N6,"AAAAADXd/1Y=")</f>
        <v>#VALUE!</v>
      </c>
      <c r="CJ4" t="e">
        <f>AND(Data!O6,"AAAAADXd/1c=")</f>
        <v>#VALUE!</v>
      </c>
      <c r="CK4" t="e">
        <f>AND(Data!P6,"AAAAADXd/1g=")</f>
        <v>#VALUE!</v>
      </c>
      <c r="CL4" t="e">
        <f>AND(Data!Q6,"AAAAADXd/1k=")</f>
        <v>#VALUE!</v>
      </c>
      <c r="CM4" t="e">
        <f>AND(Data!#REF!,"AAAAADXd/1o=")</f>
        <v>#REF!</v>
      </c>
      <c r="CN4" t="e">
        <f>AND(Data!#REF!,"AAAAADXd/1s=")</f>
        <v>#REF!</v>
      </c>
      <c r="CO4" t="e">
        <f>AND(Data!#REF!,"AAAAADXd/1w=")</f>
        <v>#REF!</v>
      </c>
      <c r="CP4" t="e">
        <f>AND(Data!#REF!,"AAAAADXd/10=")</f>
        <v>#REF!</v>
      </c>
      <c r="CQ4" t="e">
        <f>AND(Data!#REF!,"AAAAADXd/14=")</f>
        <v>#REF!</v>
      </c>
      <c r="CR4" t="e">
        <f>AND(Data!#REF!,"AAAAADXd/18=")</f>
        <v>#REF!</v>
      </c>
      <c r="CS4" t="e">
        <f>AND(Data!#REF!,"AAAAADXd/2A=")</f>
        <v>#REF!</v>
      </c>
      <c r="CT4" t="e">
        <f>AND(Data!#REF!,"AAAAADXd/2E=")</f>
        <v>#REF!</v>
      </c>
      <c r="CU4" t="e">
        <f>AND(Data!#REF!,"AAAAADXd/2I=")</f>
        <v>#REF!</v>
      </c>
      <c r="CV4" t="e">
        <f>AND(Data!#REF!,"AAAAADXd/2M=")</f>
        <v>#REF!</v>
      </c>
      <c r="CW4">
        <f>IF(Data!7:7,"AAAAADXd/2Q=",0)</f>
        <v>0</v>
      </c>
      <c r="CX4" t="e">
        <f>AND(Data!A7,"AAAAADXd/2U=")</f>
        <v>#VALUE!</v>
      </c>
      <c r="CY4" t="e">
        <f>AND(Data!B7,"AAAAADXd/2Y=")</f>
        <v>#VALUE!</v>
      </c>
      <c r="CZ4" t="e">
        <f>AND(Data!C7,"AAAAADXd/2c=")</f>
        <v>#VALUE!</v>
      </c>
      <c r="DA4" t="e">
        <f>AND(Data!D7,"AAAAADXd/2g=")</f>
        <v>#VALUE!</v>
      </c>
      <c r="DB4" t="e">
        <f>AND(Data!E7,"AAAAADXd/2k=")</f>
        <v>#VALUE!</v>
      </c>
      <c r="DC4" t="e">
        <f>AND(Data!F7,"AAAAADXd/2o=")</f>
        <v>#VALUE!</v>
      </c>
      <c r="DD4" t="e">
        <f>AND(Data!G7,"AAAAADXd/2s=")</f>
        <v>#VALUE!</v>
      </c>
      <c r="DE4" t="e">
        <f>AND(Data!H7,"AAAAADXd/2w=")</f>
        <v>#VALUE!</v>
      </c>
      <c r="DF4" t="e">
        <f>AND(Data!I7,"AAAAADXd/20=")</f>
        <v>#VALUE!</v>
      </c>
      <c r="DG4" t="e">
        <f>AND(Data!J7,"AAAAADXd/24=")</f>
        <v>#VALUE!</v>
      </c>
      <c r="DH4" t="e">
        <f>AND(Data!K7,"AAAAADXd/28=")</f>
        <v>#VALUE!</v>
      </c>
      <c r="DI4" t="e">
        <f>AND(Data!L7,"AAAAADXd/3A=")</f>
        <v>#VALUE!</v>
      </c>
      <c r="DJ4" t="e">
        <f>AND(Data!M7,"AAAAADXd/3E=")</f>
        <v>#VALUE!</v>
      </c>
      <c r="DK4" t="e">
        <f>AND(Data!N7,"AAAAADXd/3I=")</f>
        <v>#VALUE!</v>
      </c>
      <c r="DL4" t="e">
        <f>AND(Data!O7,"AAAAADXd/3M=")</f>
        <v>#VALUE!</v>
      </c>
      <c r="DM4" t="e">
        <f>AND(Data!P7,"AAAAADXd/3Q=")</f>
        <v>#VALUE!</v>
      </c>
      <c r="DN4" t="e">
        <f>AND(Data!Q7,"AAAAADXd/3U=")</f>
        <v>#VALUE!</v>
      </c>
      <c r="DO4" t="e">
        <f>AND(Data!#REF!,"AAAAADXd/3Y=")</f>
        <v>#REF!</v>
      </c>
      <c r="DP4" t="e">
        <f>AND(Data!#REF!,"AAAAADXd/3c=")</f>
        <v>#REF!</v>
      </c>
      <c r="DQ4" t="e">
        <f>AND(Data!#REF!,"AAAAADXd/3g=")</f>
        <v>#REF!</v>
      </c>
      <c r="DR4" t="e">
        <f>AND(Data!#REF!,"AAAAADXd/3k=")</f>
        <v>#REF!</v>
      </c>
      <c r="DS4" t="e">
        <f>AND(Data!#REF!,"AAAAADXd/3o=")</f>
        <v>#REF!</v>
      </c>
      <c r="DT4" t="e">
        <f>AND(Data!#REF!,"AAAAADXd/3s=")</f>
        <v>#REF!</v>
      </c>
      <c r="DU4" t="e">
        <f>AND(Data!#REF!,"AAAAADXd/3w=")</f>
        <v>#REF!</v>
      </c>
      <c r="DV4" t="e">
        <f>AND(Data!#REF!,"AAAAADXd/30=")</f>
        <v>#REF!</v>
      </c>
      <c r="DW4" t="e">
        <f>AND(Data!#REF!,"AAAAADXd/34=")</f>
        <v>#REF!</v>
      </c>
      <c r="DX4" t="e">
        <f>AND(Data!#REF!,"AAAAADXd/38=")</f>
        <v>#REF!</v>
      </c>
      <c r="DY4">
        <f>IF(Data!8:8,"AAAAADXd/4A=",0)</f>
        <v>0</v>
      </c>
      <c r="DZ4" t="e">
        <f>AND(Data!A8,"AAAAADXd/4E=")</f>
        <v>#VALUE!</v>
      </c>
      <c r="EA4" t="e">
        <f>AND(Data!B8,"AAAAADXd/4I=")</f>
        <v>#VALUE!</v>
      </c>
      <c r="EB4" t="e">
        <f>AND(Data!C8,"AAAAADXd/4M=")</f>
        <v>#VALUE!</v>
      </c>
      <c r="EC4" t="e">
        <f>AND(Data!D8,"AAAAADXd/4Q=")</f>
        <v>#VALUE!</v>
      </c>
      <c r="ED4" t="e">
        <f>AND(Data!E8,"AAAAADXd/4U=")</f>
        <v>#VALUE!</v>
      </c>
      <c r="EE4" t="e">
        <f>AND(Data!F8,"AAAAADXd/4Y=")</f>
        <v>#VALUE!</v>
      </c>
      <c r="EF4" t="e">
        <f>AND(Data!G8,"AAAAADXd/4c=")</f>
        <v>#VALUE!</v>
      </c>
      <c r="EG4" t="e">
        <f>AND(Data!H8,"AAAAADXd/4g=")</f>
        <v>#VALUE!</v>
      </c>
      <c r="EH4" t="e">
        <f>AND(Data!I8,"AAAAADXd/4k=")</f>
        <v>#VALUE!</v>
      </c>
      <c r="EI4" t="e">
        <f>AND(Data!J8,"AAAAADXd/4o=")</f>
        <v>#VALUE!</v>
      </c>
      <c r="EJ4" t="e">
        <f>AND(Data!K8,"AAAAADXd/4s=")</f>
        <v>#VALUE!</v>
      </c>
      <c r="EK4" t="e">
        <f>AND(Data!L8,"AAAAADXd/4w=")</f>
        <v>#VALUE!</v>
      </c>
      <c r="EL4" t="e">
        <f>AND(Data!M8,"AAAAADXd/40=")</f>
        <v>#VALUE!</v>
      </c>
      <c r="EM4" t="e">
        <f>AND(Data!N8,"AAAAADXd/44=")</f>
        <v>#VALUE!</v>
      </c>
      <c r="EN4" t="e">
        <f>AND(Data!O8,"AAAAADXd/48=")</f>
        <v>#VALUE!</v>
      </c>
      <c r="EO4" t="e">
        <f>AND(Data!P8,"AAAAADXd/5A=")</f>
        <v>#VALUE!</v>
      </c>
      <c r="EP4" t="e">
        <f>AND(Data!Q8,"AAAAADXd/5E=")</f>
        <v>#VALUE!</v>
      </c>
      <c r="EQ4" t="e">
        <f>AND(Data!#REF!,"AAAAADXd/5I=")</f>
        <v>#REF!</v>
      </c>
      <c r="ER4" t="e">
        <f>AND(Data!#REF!,"AAAAADXd/5M=")</f>
        <v>#REF!</v>
      </c>
      <c r="ES4" t="e">
        <f>AND(Data!#REF!,"AAAAADXd/5Q=")</f>
        <v>#REF!</v>
      </c>
      <c r="ET4" t="e">
        <f>AND(Data!#REF!,"AAAAADXd/5U=")</f>
        <v>#REF!</v>
      </c>
      <c r="EU4" t="e">
        <f>AND(Data!#REF!,"AAAAADXd/5Y=")</f>
        <v>#REF!</v>
      </c>
      <c r="EV4" t="e">
        <f>AND(Data!#REF!,"AAAAADXd/5c=")</f>
        <v>#REF!</v>
      </c>
      <c r="EW4" t="e">
        <f>AND(Data!#REF!,"AAAAADXd/5g=")</f>
        <v>#REF!</v>
      </c>
      <c r="EX4" t="e">
        <f>AND(Data!#REF!,"AAAAADXd/5k=")</f>
        <v>#REF!</v>
      </c>
      <c r="EY4" t="e">
        <f>AND(Data!#REF!,"AAAAADXd/5o=")</f>
        <v>#REF!</v>
      </c>
      <c r="EZ4" t="e">
        <f>AND(Data!#REF!,"AAAAADXd/5s=")</f>
        <v>#REF!</v>
      </c>
      <c r="FA4">
        <f>IF(Data!9:9,"AAAAADXd/5w=",0)</f>
        <v>0</v>
      </c>
      <c r="FB4" t="e">
        <f>AND(Data!A9,"AAAAADXd/50=")</f>
        <v>#VALUE!</v>
      </c>
      <c r="FC4" t="e">
        <f>AND(Data!B9,"AAAAADXd/54=")</f>
        <v>#VALUE!</v>
      </c>
      <c r="FD4" t="e">
        <f>AND(Data!C9,"AAAAADXd/58=")</f>
        <v>#VALUE!</v>
      </c>
      <c r="FE4" t="e">
        <f>AND(Data!D9,"AAAAADXd/6A=")</f>
        <v>#VALUE!</v>
      </c>
      <c r="FF4" t="e">
        <f>AND(Data!E9,"AAAAADXd/6E=")</f>
        <v>#VALUE!</v>
      </c>
      <c r="FG4" t="e">
        <f>AND(Data!F9,"AAAAADXd/6I=")</f>
        <v>#VALUE!</v>
      </c>
      <c r="FH4" t="e">
        <f>AND(Data!G9,"AAAAADXd/6M=")</f>
        <v>#VALUE!</v>
      </c>
      <c r="FI4" t="e">
        <f>AND(Data!H9,"AAAAADXd/6Q=")</f>
        <v>#VALUE!</v>
      </c>
      <c r="FJ4" t="e">
        <f>AND(Data!I9,"AAAAADXd/6U=")</f>
        <v>#VALUE!</v>
      </c>
      <c r="FK4" t="e">
        <f>AND(Data!J9,"AAAAADXd/6Y=")</f>
        <v>#VALUE!</v>
      </c>
      <c r="FL4" t="e">
        <f>AND(Data!K9,"AAAAADXd/6c=")</f>
        <v>#VALUE!</v>
      </c>
      <c r="FM4" t="e">
        <f>AND(Data!L9,"AAAAADXd/6g=")</f>
        <v>#VALUE!</v>
      </c>
      <c r="FN4" t="e">
        <f>AND(Data!M9,"AAAAADXd/6k=")</f>
        <v>#VALUE!</v>
      </c>
      <c r="FO4" t="e">
        <f>AND(Data!N9,"AAAAADXd/6o=")</f>
        <v>#VALUE!</v>
      </c>
      <c r="FP4" t="e">
        <f>AND(Data!O9,"AAAAADXd/6s=")</f>
        <v>#VALUE!</v>
      </c>
      <c r="FQ4" t="e">
        <f>AND(Data!P9,"AAAAADXd/6w=")</f>
        <v>#VALUE!</v>
      </c>
      <c r="FR4" t="e">
        <f>AND(Data!Q9,"AAAAADXd/60=")</f>
        <v>#VALUE!</v>
      </c>
      <c r="FS4" t="e">
        <f>AND(Data!#REF!,"AAAAADXd/64=")</f>
        <v>#REF!</v>
      </c>
      <c r="FT4" t="e">
        <f>AND(Data!#REF!,"AAAAADXd/68=")</f>
        <v>#REF!</v>
      </c>
      <c r="FU4" t="e">
        <f>AND(Data!#REF!,"AAAAADXd/7A=")</f>
        <v>#REF!</v>
      </c>
      <c r="FV4" t="e">
        <f>AND(Data!#REF!,"AAAAADXd/7E=")</f>
        <v>#REF!</v>
      </c>
      <c r="FW4" t="e">
        <f>AND(Data!#REF!,"AAAAADXd/7I=")</f>
        <v>#REF!</v>
      </c>
      <c r="FX4" t="e">
        <f>AND(Data!#REF!,"AAAAADXd/7M=")</f>
        <v>#REF!</v>
      </c>
      <c r="FY4" t="e">
        <f>AND(Data!#REF!,"AAAAADXd/7Q=")</f>
        <v>#REF!</v>
      </c>
      <c r="FZ4" t="e">
        <f>AND(Data!#REF!,"AAAAADXd/7U=")</f>
        <v>#REF!</v>
      </c>
      <c r="GA4" t="e">
        <f>AND(Data!#REF!,"AAAAADXd/7Y=")</f>
        <v>#REF!</v>
      </c>
      <c r="GB4" t="e">
        <f>AND(Data!#REF!,"AAAAADXd/7c=")</f>
        <v>#REF!</v>
      </c>
      <c r="GC4">
        <f>IF(Data!10:10,"AAAAADXd/7g=",0)</f>
        <v>0</v>
      </c>
      <c r="GD4" t="e">
        <f>AND(Data!A10,"AAAAADXd/7k=")</f>
        <v>#VALUE!</v>
      </c>
      <c r="GE4" t="e">
        <f>AND(Data!B10,"AAAAADXd/7o=")</f>
        <v>#VALUE!</v>
      </c>
      <c r="GF4" t="e">
        <f>AND(Data!C10,"AAAAADXd/7s=")</f>
        <v>#VALUE!</v>
      </c>
      <c r="GG4" t="e">
        <f>AND(Data!D10,"AAAAADXd/7w=")</f>
        <v>#VALUE!</v>
      </c>
      <c r="GH4" t="e">
        <f>AND(Data!E10,"AAAAADXd/70=")</f>
        <v>#VALUE!</v>
      </c>
      <c r="GI4" t="e">
        <f>AND(Data!F10,"AAAAADXd/74=")</f>
        <v>#VALUE!</v>
      </c>
      <c r="GJ4" t="e">
        <f>AND(Data!G10,"AAAAADXd/78=")</f>
        <v>#VALUE!</v>
      </c>
      <c r="GK4" t="e">
        <f>AND(Data!H10,"AAAAADXd/8A=")</f>
        <v>#VALUE!</v>
      </c>
      <c r="GL4" t="e">
        <f>AND(Data!I10,"AAAAADXd/8E=")</f>
        <v>#VALUE!</v>
      </c>
      <c r="GM4" t="e">
        <f>AND(Data!J10,"AAAAADXd/8I=")</f>
        <v>#VALUE!</v>
      </c>
      <c r="GN4" t="e">
        <f>AND(Data!K10,"AAAAADXd/8M=")</f>
        <v>#VALUE!</v>
      </c>
      <c r="GO4" t="e">
        <f>AND(Data!L10,"AAAAADXd/8Q=")</f>
        <v>#VALUE!</v>
      </c>
      <c r="GP4" t="e">
        <f>AND(Data!M10,"AAAAADXd/8U=")</f>
        <v>#VALUE!</v>
      </c>
      <c r="GQ4" t="e">
        <f>AND(Data!N10,"AAAAADXd/8Y=")</f>
        <v>#VALUE!</v>
      </c>
      <c r="GR4" t="e">
        <f>AND(Data!O10,"AAAAADXd/8c=")</f>
        <v>#VALUE!</v>
      </c>
      <c r="GS4" t="e">
        <f>AND(Data!P10,"AAAAADXd/8g=")</f>
        <v>#VALUE!</v>
      </c>
      <c r="GT4" t="e">
        <f>AND(Data!Q10,"AAAAADXd/8k=")</f>
        <v>#VALUE!</v>
      </c>
      <c r="GU4" t="e">
        <f>AND(Data!#REF!,"AAAAADXd/8o=")</f>
        <v>#REF!</v>
      </c>
      <c r="GV4" t="e">
        <f>AND(Data!#REF!,"AAAAADXd/8s=")</f>
        <v>#REF!</v>
      </c>
      <c r="GW4" t="e">
        <f>AND(Data!#REF!,"AAAAADXd/8w=")</f>
        <v>#REF!</v>
      </c>
      <c r="GX4" t="e">
        <f>AND(Data!#REF!,"AAAAADXd/80=")</f>
        <v>#REF!</v>
      </c>
      <c r="GY4" t="e">
        <f>AND(Data!#REF!,"AAAAADXd/84=")</f>
        <v>#REF!</v>
      </c>
      <c r="GZ4" t="e">
        <f>AND(Data!#REF!,"AAAAADXd/88=")</f>
        <v>#REF!</v>
      </c>
      <c r="HA4" t="e">
        <f>AND(Data!#REF!,"AAAAADXd/9A=")</f>
        <v>#REF!</v>
      </c>
      <c r="HB4" t="e">
        <f>AND(Data!#REF!,"AAAAADXd/9E=")</f>
        <v>#REF!</v>
      </c>
      <c r="HC4" t="e">
        <f>AND(Data!#REF!,"AAAAADXd/9I=")</f>
        <v>#REF!</v>
      </c>
      <c r="HD4" t="e">
        <f>AND(Data!#REF!,"AAAAADXd/9M=")</f>
        <v>#REF!</v>
      </c>
      <c r="HE4">
        <f>IF(Data!11:11,"AAAAADXd/9Q=",0)</f>
        <v>0</v>
      </c>
      <c r="HF4" t="e">
        <f>AND(Data!A11,"AAAAADXd/9U=")</f>
        <v>#VALUE!</v>
      </c>
      <c r="HG4" t="e">
        <f>AND(Data!B11,"AAAAADXd/9Y=")</f>
        <v>#VALUE!</v>
      </c>
      <c r="HH4" t="e">
        <f>AND(Data!C11,"AAAAADXd/9c=")</f>
        <v>#VALUE!</v>
      </c>
      <c r="HI4" t="e">
        <f>AND(Data!D11,"AAAAADXd/9g=")</f>
        <v>#VALUE!</v>
      </c>
      <c r="HJ4" t="e">
        <f>AND(Data!E11,"AAAAADXd/9k=")</f>
        <v>#VALUE!</v>
      </c>
      <c r="HK4" t="e">
        <f>AND(Data!F11,"AAAAADXd/9o=")</f>
        <v>#VALUE!</v>
      </c>
      <c r="HL4" t="e">
        <f>AND(Data!G11,"AAAAADXd/9s=")</f>
        <v>#VALUE!</v>
      </c>
      <c r="HM4" t="e">
        <f>AND(Data!H11,"AAAAADXd/9w=")</f>
        <v>#VALUE!</v>
      </c>
      <c r="HN4" t="e">
        <f>AND(Data!I11,"AAAAADXd/90=")</f>
        <v>#VALUE!</v>
      </c>
      <c r="HO4" t="e">
        <f>AND(Data!J11,"AAAAADXd/94=")</f>
        <v>#VALUE!</v>
      </c>
      <c r="HP4" t="e">
        <f>AND(Data!K11,"AAAAADXd/98=")</f>
        <v>#VALUE!</v>
      </c>
      <c r="HQ4" t="e">
        <f>AND(Data!L11,"AAAAADXd/+A=")</f>
        <v>#VALUE!</v>
      </c>
      <c r="HR4" t="e">
        <f>AND(Data!M11,"AAAAADXd/+E=")</f>
        <v>#VALUE!</v>
      </c>
      <c r="HS4" t="e">
        <f>AND(Data!N11,"AAAAADXd/+I=")</f>
        <v>#VALUE!</v>
      </c>
      <c r="HT4" t="e">
        <f>AND(Data!O11,"AAAAADXd/+M=")</f>
        <v>#VALUE!</v>
      </c>
      <c r="HU4" t="e">
        <f>AND(Data!P11,"AAAAADXd/+Q=")</f>
        <v>#VALUE!</v>
      </c>
      <c r="HV4" t="e">
        <f>AND(Data!Q11,"AAAAADXd/+U=")</f>
        <v>#VALUE!</v>
      </c>
      <c r="HW4" t="e">
        <f>AND(Data!#REF!,"AAAAADXd/+Y=")</f>
        <v>#REF!</v>
      </c>
      <c r="HX4" t="e">
        <f>AND(Data!#REF!,"AAAAADXd/+c=")</f>
        <v>#REF!</v>
      </c>
      <c r="HY4" t="e">
        <f>AND(Data!#REF!,"AAAAADXd/+g=")</f>
        <v>#REF!</v>
      </c>
      <c r="HZ4" t="e">
        <f>AND(Data!#REF!,"AAAAADXd/+k=")</f>
        <v>#REF!</v>
      </c>
      <c r="IA4" t="e">
        <f>AND(Data!#REF!,"AAAAADXd/+o=")</f>
        <v>#REF!</v>
      </c>
      <c r="IB4" t="e">
        <f>AND(Data!#REF!,"AAAAADXd/+s=")</f>
        <v>#REF!</v>
      </c>
      <c r="IC4" t="e">
        <f>AND(Data!#REF!,"AAAAADXd/+w=")</f>
        <v>#REF!</v>
      </c>
      <c r="ID4" t="e">
        <f>AND(Data!#REF!,"AAAAADXd/+0=")</f>
        <v>#REF!</v>
      </c>
      <c r="IE4" t="e">
        <f>AND(Data!#REF!,"AAAAADXd/+4=")</f>
        <v>#REF!</v>
      </c>
      <c r="IF4" t="e">
        <f>AND(Data!#REF!,"AAAAADXd/+8=")</f>
        <v>#REF!</v>
      </c>
      <c r="IG4">
        <f>IF(Data!12:12,"AAAAADXd//A=",0)</f>
        <v>0</v>
      </c>
      <c r="IH4" t="e">
        <f>AND(Data!A12,"AAAAADXd//E=")</f>
        <v>#VALUE!</v>
      </c>
      <c r="II4" t="e">
        <f>AND(Data!B12,"AAAAADXd//I=")</f>
        <v>#VALUE!</v>
      </c>
      <c r="IJ4" t="e">
        <f>AND(Data!C12,"AAAAADXd//M=")</f>
        <v>#VALUE!</v>
      </c>
      <c r="IK4" t="e">
        <f>AND(Data!D12,"AAAAADXd//Q=")</f>
        <v>#VALUE!</v>
      </c>
      <c r="IL4" t="e">
        <f>AND(Data!E12,"AAAAADXd//U=")</f>
        <v>#VALUE!</v>
      </c>
      <c r="IM4" t="e">
        <f>AND(Data!F12,"AAAAADXd//Y=")</f>
        <v>#VALUE!</v>
      </c>
      <c r="IN4" t="e">
        <f>AND(Data!G12,"AAAAADXd//c=")</f>
        <v>#VALUE!</v>
      </c>
      <c r="IO4" t="e">
        <f>AND(Data!H12,"AAAAADXd//g=")</f>
        <v>#VALUE!</v>
      </c>
      <c r="IP4" t="e">
        <f>AND(Data!I12,"AAAAADXd//k=")</f>
        <v>#VALUE!</v>
      </c>
      <c r="IQ4" t="e">
        <f>AND(Data!J12,"AAAAADXd//o=")</f>
        <v>#VALUE!</v>
      </c>
      <c r="IR4" t="e">
        <f>AND(Data!K12,"AAAAADXd//s=")</f>
        <v>#VALUE!</v>
      </c>
      <c r="IS4" t="e">
        <f>AND(Data!L12,"AAAAADXd//w=")</f>
        <v>#VALUE!</v>
      </c>
      <c r="IT4" t="e">
        <f>AND(Data!M12,"AAAAADXd//0=")</f>
        <v>#VALUE!</v>
      </c>
      <c r="IU4" t="e">
        <f>AND(Data!N12,"AAAAADXd//4=")</f>
        <v>#VALUE!</v>
      </c>
      <c r="IV4" t="e">
        <f>AND(Data!O12,"AAAAADXd//8=")</f>
        <v>#VALUE!</v>
      </c>
    </row>
    <row r="5" spans="1:256">
      <c r="A5" t="e">
        <f>AND(Data!P12,"AAAAAFP9/QA=")</f>
        <v>#VALUE!</v>
      </c>
      <c r="B5" t="e">
        <f>AND(Data!Q12,"AAAAAFP9/QE=")</f>
        <v>#VALUE!</v>
      </c>
      <c r="C5" t="e">
        <f>AND(Data!#REF!,"AAAAAFP9/QI=")</f>
        <v>#REF!</v>
      </c>
      <c r="D5" t="e">
        <f>AND(Data!#REF!,"AAAAAFP9/QM=")</f>
        <v>#REF!</v>
      </c>
      <c r="E5" t="e">
        <f>AND(Data!#REF!,"AAAAAFP9/QQ=")</f>
        <v>#REF!</v>
      </c>
      <c r="F5" t="e">
        <f>AND(Data!#REF!,"AAAAAFP9/QU=")</f>
        <v>#REF!</v>
      </c>
      <c r="G5" t="e">
        <f>AND(Data!#REF!,"AAAAAFP9/QY=")</f>
        <v>#REF!</v>
      </c>
      <c r="H5" t="e">
        <f>AND(Data!#REF!,"AAAAAFP9/Qc=")</f>
        <v>#REF!</v>
      </c>
      <c r="I5" t="e">
        <f>AND(Data!#REF!,"AAAAAFP9/Qg=")</f>
        <v>#REF!</v>
      </c>
      <c r="J5" t="e">
        <f>AND(Data!#REF!,"AAAAAFP9/Qk=")</f>
        <v>#REF!</v>
      </c>
      <c r="K5" t="e">
        <f>AND(Data!#REF!,"AAAAAFP9/Qo=")</f>
        <v>#REF!</v>
      </c>
      <c r="L5" t="e">
        <f>AND(Data!#REF!,"AAAAAFP9/Qs=")</f>
        <v>#REF!</v>
      </c>
      <c r="M5" t="str">
        <f>IF(Data!13:13,"AAAAAFP9/Qw=",0)</f>
        <v>AAAAAFP9/Qw=</v>
      </c>
      <c r="N5" t="e">
        <f>AND(Data!A13,"AAAAAFP9/Q0=")</f>
        <v>#VALUE!</v>
      </c>
      <c r="O5" t="e">
        <f>AND(Data!B13,"AAAAAFP9/Q4=")</f>
        <v>#VALUE!</v>
      </c>
      <c r="P5" t="e">
        <f>AND(Data!C13,"AAAAAFP9/Q8=")</f>
        <v>#VALUE!</v>
      </c>
      <c r="Q5" t="e">
        <f>AND(Data!D13,"AAAAAFP9/RA=")</f>
        <v>#VALUE!</v>
      </c>
      <c r="R5" t="e">
        <f>AND(Data!E13,"AAAAAFP9/RE=")</f>
        <v>#VALUE!</v>
      </c>
      <c r="S5" t="e">
        <f>AND(Data!F13,"AAAAAFP9/RI=")</f>
        <v>#VALUE!</v>
      </c>
      <c r="T5" t="e">
        <f>AND(Data!G13,"AAAAAFP9/RM=")</f>
        <v>#VALUE!</v>
      </c>
      <c r="U5" t="e">
        <f>AND(Data!H13,"AAAAAFP9/RQ=")</f>
        <v>#VALUE!</v>
      </c>
      <c r="V5" t="e">
        <f>AND(Data!I13,"AAAAAFP9/RU=")</f>
        <v>#VALUE!</v>
      </c>
      <c r="W5" t="e">
        <f>AND(Data!J13,"AAAAAFP9/RY=")</f>
        <v>#VALUE!</v>
      </c>
      <c r="X5" t="e">
        <f>AND(Data!K13,"AAAAAFP9/Rc=")</f>
        <v>#VALUE!</v>
      </c>
      <c r="Y5" t="e">
        <f>AND(Data!L13,"AAAAAFP9/Rg=")</f>
        <v>#VALUE!</v>
      </c>
      <c r="Z5" t="e">
        <f>AND(Data!M13,"AAAAAFP9/Rk=")</f>
        <v>#VALUE!</v>
      </c>
      <c r="AA5" t="e">
        <f>AND(Data!N13,"AAAAAFP9/Ro=")</f>
        <v>#VALUE!</v>
      </c>
      <c r="AB5" t="e">
        <f>AND(Data!O13,"AAAAAFP9/Rs=")</f>
        <v>#VALUE!</v>
      </c>
      <c r="AC5" t="e">
        <f>AND(Data!P13,"AAAAAFP9/Rw=")</f>
        <v>#VALUE!</v>
      </c>
      <c r="AD5" t="e">
        <f>AND(Data!Q13,"AAAAAFP9/R0=")</f>
        <v>#VALUE!</v>
      </c>
      <c r="AE5" t="e">
        <f>AND(Data!#REF!,"AAAAAFP9/R4=")</f>
        <v>#REF!</v>
      </c>
      <c r="AF5" t="e">
        <f>AND(Data!#REF!,"AAAAAFP9/R8=")</f>
        <v>#REF!</v>
      </c>
      <c r="AG5" t="e">
        <f>AND(Data!#REF!,"AAAAAFP9/SA=")</f>
        <v>#REF!</v>
      </c>
      <c r="AH5" t="e">
        <f>AND(Data!#REF!,"AAAAAFP9/SE=")</f>
        <v>#REF!</v>
      </c>
      <c r="AI5" t="e">
        <f>AND(Data!#REF!,"AAAAAFP9/SI=")</f>
        <v>#REF!</v>
      </c>
      <c r="AJ5" t="e">
        <f>AND(Data!#REF!,"AAAAAFP9/SM=")</f>
        <v>#REF!</v>
      </c>
      <c r="AK5" t="e">
        <f>AND(Data!#REF!,"AAAAAFP9/SQ=")</f>
        <v>#REF!</v>
      </c>
      <c r="AL5" t="e">
        <f>AND(Data!#REF!,"AAAAAFP9/SU=")</f>
        <v>#REF!</v>
      </c>
      <c r="AM5" t="e">
        <f>AND(Data!#REF!,"AAAAAFP9/SY=")</f>
        <v>#REF!</v>
      </c>
      <c r="AN5" t="e">
        <f>AND(Data!#REF!,"AAAAAFP9/Sc=")</f>
        <v>#REF!</v>
      </c>
      <c r="AO5">
        <f>IF(Data!14:14,"AAAAAFP9/Sg=",0)</f>
        <v>0</v>
      </c>
      <c r="AP5" t="e">
        <f>AND(Data!A14,"AAAAAFP9/Sk=")</f>
        <v>#VALUE!</v>
      </c>
      <c r="AQ5" t="e">
        <f>AND(Data!B14,"AAAAAFP9/So=")</f>
        <v>#VALUE!</v>
      </c>
      <c r="AR5" t="e">
        <f>AND(Data!C14,"AAAAAFP9/Ss=")</f>
        <v>#VALUE!</v>
      </c>
      <c r="AS5" t="e">
        <f>AND(Data!D14,"AAAAAFP9/Sw=")</f>
        <v>#VALUE!</v>
      </c>
      <c r="AT5" t="e">
        <f>AND(Data!E14,"AAAAAFP9/S0=")</f>
        <v>#VALUE!</v>
      </c>
      <c r="AU5" t="e">
        <f>AND(Data!F14,"AAAAAFP9/S4=")</f>
        <v>#VALUE!</v>
      </c>
      <c r="AV5" t="e">
        <f>AND(Data!G14,"AAAAAFP9/S8=")</f>
        <v>#VALUE!</v>
      </c>
      <c r="AW5" t="e">
        <f>AND(Data!H14,"AAAAAFP9/TA=")</f>
        <v>#VALUE!</v>
      </c>
      <c r="AX5" t="e">
        <f>AND(Data!I14,"AAAAAFP9/TE=")</f>
        <v>#VALUE!</v>
      </c>
      <c r="AY5" t="e">
        <f>AND(Data!J14,"AAAAAFP9/TI=")</f>
        <v>#VALUE!</v>
      </c>
      <c r="AZ5" t="e">
        <f>AND(Data!K14,"AAAAAFP9/TM=")</f>
        <v>#VALUE!</v>
      </c>
      <c r="BA5" t="e">
        <f>AND(Data!L14,"AAAAAFP9/TQ=")</f>
        <v>#VALUE!</v>
      </c>
      <c r="BB5" t="e">
        <f>AND(Data!M14,"AAAAAFP9/TU=")</f>
        <v>#VALUE!</v>
      </c>
      <c r="BC5" t="e">
        <f>AND(Data!N14,"AAAAAFP9/TY=")</f>
        <v>#VALUE!</v>
      </c>
      <c r="BD5" t="e">
        <f>AND(Data!O14,"AAAAAFP9/Tc=")</f>
        <v>#VALUE!</v>
      </c>
      <c r="BE5" t="e">
        <f>AND(Data!P14,"AAAAAFP9/Tg=")</f>
        <v>#VALUE!</v>
      </c>
      <c r="BF5" t="e">
        <f>AND(Data!Q14,"AAAAAFP9/Tk=")</f>
        <v>#VALUE!</v>
      </c>
      <c r="BG5" t="e">
        <f>AND(Data!#REF!,"AAAAAFP9/To=")</f>
        <v>#REF!</v>
      </c>
      <c r="BH5" t="e">
        <f>AND(Data!#REF!,"AAAAAFP9/Ts=")</f>
        <v>#REF!</v>
      </c>
      <c r="BI5" t="e">
        <f>AND(Data!#REF!,"AAAAAFP9/Tw=")</f>
        <v>#REF!</v>
      </c>
      <c r="BJ5" t="e">
        <f>AND(Data!#REF!,"AAAAAFP9/T0=")</f>
        <v>#REF!</v>
      </c>
      <c r="BK5" t="e">
        <f>AND(Data!#REF!,"AAAAAFP9/T4=")</f>
        <v>#REF!</v>
      </c>
      <c r="BL5" t="e">
        <f>AND(Data!#REF!,"AAAAAFP9/T8=")</f>
        <v>#REF!</v>
      </c>
      <c r="BM5" t="e">
        <f>AND(Data!#REF!,"AAAAAFP9/UA=")</f>
        <v>#REF!</v>
      </c>
      <c r="BN5" t="e">
        <f>AND(Data!#REF!,"AAAAAFP9/UE=")</f>
        <v>#REF!</v>
      </c>
      <c r="BO5" t="e">
        <f>AND(Data!#REF!,"AAAAAFP9/UI=")</f>
        <v>#REF!</v>
      </c>
      <c r="BP5" t="e">
        <f>AND(Data!#REF!,"AAAAAFP9/UM=")</f>
        <v>#REF!</v>
      </c>
      <c r="BQ5">
        <f>IF(Data!15:15,"AAAAAFP9/UQ=",0)</f>
        <v>0</v>
      </c>
      <c r="BR5" t="e">
        <f>AND(Data!A15,"AAAAAFP9/UU=")</f>
        <v>#VALUE!</v>
      </c>
      <c r="BS5" t="e">
        <f>AND(Data!B15,"AAAAAFP9/UY=")</f>
        <v>#VALUE!</v>
      </c>
      <c r="BT5" t="e">
        <f>AND(Data!C15,"AAAAAFP9/Uc=")</f>
        <v>#VALUE!</v>
      </c>
      <c r="BU5" t="e">
        <f>AND(Data!D15,"AAAAAFP9/Ug=")</f>
        <v>#VALUE!</v>
      </c>
      <c r="BV5" t="e">
        <f>AND(Data!E15,"AAAAAFP9/Uk=")</f>
        <v>#VALUE!</v>
      </c>
      <c r="BW5" t="e">
        <f>AND(Data!F15,"AAAAAFP9/Uo=")</f>
        <v>#VALUE!</v>
      </c>
      <c r="BX5" t="e">
        <f>AND(Data!G15,"AAAAAFP9/Us=")</f>
        <v>#VALUE!</v>
      </c>
      <c r="BY5" t="e">
        <f>AND(Data!H15,"AAAAAFP9/Uw=")</f>
        <v>#VALUE!</v>
      </c>
      <c r="BZ5" t="e">
        <f>AND(Data!I15,"AAAAAFP9/U0=")</f>
        <v>#VALUE!</v>
      </c>
      <c r="CA5" t="e">
        <f>AND(Data!J15,"AAAAAFP9/U4=")</f>
        <v>#VALUE!</v>
      </c>
      <c r="CB5" t="e">
        <f>AND(Data!K15,"AAAAAFP9/U8=")</f>
        <v>#VALUE!</v>
      </c>
      <c r="CC5" t="e">
        <f>AND(Data!L15,"AAAAAFP9/VA=")</f>
        <v>#VALUE!</v>
      </c>
      <c r="CD5" t="e">
        <f>AND(Data!M15,"AAAAAFP9/VE=")</f>
        <v>#VALUE!</v>
      </c>
      <c r="CE5" t="e">
        <f>AND(Data!N15,"AAAAAFP9/VI=")</f>
        <v>#VALUE!</v>
      </c>
      <c r="CF5" t="e">
        <f>AND(Data!O15,"AAAAAFP9/VM=")</f>
        <v>#VALUE!</v>
      </c>
      <c r="CG5" t="e">
        <f>AND(Data!P15,"AAAAAFP9/VQ=")</f>
        <v>#VALUE!</v>
      </c>
      <c r="CH5" t="e">
        <f>AND(Data!Q15,"AAAAAFP9/VU=")</f>
        <v>#VALUE!</v>
      </c>
      <c r="CI5" t="e">
        <f>AND(Data!#REF!,"AAAAAFP9/VY=")</f>
        <v>#REF!</v>
      </c>
      <c r="CJ5" t="e">
        <f>AND(Data!#REF!,"AAAAAFP9/Vc=")</f>
        <v>#REF!</v>
      </c>
      <c r="CK5" t="e">
        <f>AND(Data!#REF!,"AAAAAFP9/Vg=")</f>
        <v>#REF!</v>
      </c>
      <c r="CL5" t="e">
        <f>AND(Data!#REF!,"AAAAAFP9/Vk=")</f>
        <v>#REF!</v>
      </c>
      <c r="CM5" t="e">
        <f>AND(Data!#REF!,"AAAAAFP9/Vo=")</f>
        <v>#REF!</v>
      </c>
      <c r="CN5" t="e">
        <f>AND(Data!#REF!,"AAAAAFP9/Vs=")</f>
        <v>#REF!</v>
      </c>
      <c r="CO5" t="e">
        <f>AND(Data!#REF!,"AAAAAFP9/Vw=")</f>
        <v>#REF!</v>
      </c>
      <c r="CP5" t="e">
        <f>AND(Data!#REF!,"AAAAAFP9/V0=")</f>
        <v>#REF!</v>
      </c>
      <c r="CQ5" t="e">
        <f>AND(Data!#REF!,"AAAAAFP9/V4=")</f>
        <v>#REF!</v>
      </c>
      <c r="CR5" t="e">
        <f>AND(Data!#REF!,"AAAAAFP9/V8=")</f>
        <v>#REF!</v>
      </c>
      <c r="CS5">
        <f>IF(Data!16:16,"AAAAAFP9/WA=",0)</f>
        <v>0</v>
      </c>
      <c r="CT5" t="e">
        <f>AND(Data!A16,"AAAAAFP9/WE=")</f>
        <v>#VALUE!</v>
      </c>
      <c r="CU5" t="e">
        <f>AND(Data!B16,"AAAAAFP9/WI=")</f>
        <v>#VALUE!</v>
      </c>
      <c r="CV5" t="e">
        <f>AND(Data!C16,"AAAAAFP9/WM=")</f>
        <v>#VALUE!</v>
      </c>
      <c r="CW5" t="e">
        <f>AND(Data!D16,"AAAAAFP9/WQ=")</f>
        <v>#VALUE!</v>
      </c>
      <c r="CX5" t="e">
        <f>AND(Data!E16,"AAAAAFP9/WU=")</f>
        <v>#VALUE!</v>
      </c>
      <c r="CY5" t="e">
        <f>AND(Data!F16,"AAAAAFP9/WY=")</f>
        <v>#VALUE!</v>
      </c>
      <c r="CZ5" t="e">
        <f>AND(Data!G16,"AAAAAFP9/Wc=")</f>
        <v>#VALUE!</v>
      </c>
      <c r="DA5" t="e">
        <f>AND(Data!H16,"AAAAAFP9/Wg=")</f>
        <v>#VALUE!</v>
      </c>
      <c r="DB5" t="e">
        <f>AND(Data!I16,"AAAAAFP9/Wk=")</f>
        <v>#VALUE!</v>
      </c>
      <c r="DC5" t="e">
        <f>AND(Data!J16,"AAAAAFP9/Wo=")</f>
        <v>#VALUE!</v>
      </c>
      <c r="DD5" t="e">
        <f>AND(Data!K16,"AAAAAFP9/Ws=")</f>
        <v>#VALUE!</v>
      </c>
      <c r="DE5" t="e">
        <f>AND(Data!L16,"AAAAAFP9/Ww=")</f>
        <v>#VALUE!</v>
      </c>
      <c r="DF5" t="e">
        <f>AND(Data!M16,"AAAAAFP9/W0=")</f>
        <v>#VALUE!</v>
      </c>
      <c r="DG5" t="e">
        <f>AND(Data!N16,"AAAAAFP9/W4=")</f>
        <v>#VALUE!</v>
      </c>
      <c r="DH5" t="e">
        <f>AND(Data!O16,"AAAAAFP9/W8=")</f>
        <v>#VALUE!</v>
      </c>
      <c r="DI5" t="e">
        <f>AND(Data!P16,"AAAAAFP9/XA=")</f>
        <v>#VALUE!</v>
      </c>
      <c r="DJ5" t="e">
        <f>AND(Data!Q16,"AAAAAFP9/XE=")</f>
        <v>#VALUE!</v>
      </c>
      <c r="DK5" t="e">
        <f>AND(Data!#REF!,"AAAAAFP9/XI=")</f>
        <v>#REF!</v>
      </c>
      <c r="DL5" t="e">
        <f>AND(Data!#REF!,"AAAAAFP9/XM=")</f>
        <v>#REF!</v>
      </c>
      <c r="DM5" t="e">
        <f>AND(Data!#REF!,"AAAAAFP9/XQ=")</f>
        <v>#REF!</v>
      </c>
      <c r="DN5" t="e">
        <f>AND(Data!#REF!,"AAAAAFP9/XU=")</f>
        <v>#REF!</v>
      </c>
      <c r="DO5" t="e">
        <f>AND(Data!#REF!,"AAAAAFP9/XY=")</f>
        <v>#REF!</v>
      </c>
      <c r="DP5" t="e">
        <f>AND(Data!#REF!,"AAAAAFP9/Xc=")</f>
        <v>#REF!</v>
      </c>
      <c r="DQ5" t="e">
        <f>AND(Data!#REF!,"AAAAAFP9/Xg=")</f>
        <v>#REF!</v>
      </c>
      <c r="DR5" t="e">
        <f>AND(Data!#REF!,"AAAAAFP9/Xk=")</f>
        <v>#REF!</v>
      </c>
      <c r="DS5" t="e">
        <f>AND(Data!#REF!,"AAAAAFP9/Xo=")</f>
        <v>#REF!</v>
      </c>
      <c r="DT5" t="e">
        <f>AND(Data!#REF!,"AAAAAFP9/Xs=")</f>
        <v>#REF!</v>
      </c>
      <c r="DU5">
        <f>IF(Data!17:17,"AAAAAFP9/Xw=",0)</f>
        <v>0</v>
      </c>
      <c r="DV5" t="e">
        <f>AND(Data!A17,"AAAAAFP9/X0=")</f>
        <v>#VALUE!</v>
      </c>
      <c r="DW5" t="e">
        <f>AND(Data!B17,"AAAAAFP9/X4=")</f>
        <v>#VALUE!</v>
      </c>
      <c r="DX5" t="e">
        <f>AND(Data!C17,"AAAAAFP9/X8=")</f>
        <v>#VALUE!</v>
      </c>
      <c r="DY5" t="e">
        <f>AND(Data!D17,"AAAAAFP9/YA=")</f>
        <v>#VALUE!</v>
      </c>
      <c r="DZ5" t="e">
        <f>AND(Data!E17,"AAAAAFP9/YE=")</f>
        <v>#VALUE!</v>
      </c>
      <c r="EA5" t="e">
        <f>AND(Data!F17,"AAAAAFP9/YI=")</f>
        <v>#VALUE!</v>
      </c>
      <c r="EB5" t="e">
        <f>AND(Data!G17,"AAAAAFP9/YM=")</f>
        <v>#VALUE!</v>
      </c>
      <c r="EC5" t="e">
        <f>AND(Data!H17,"AAAAAFP9/YQ=")</f>
        <v>#VALUE!</v>
      </c>
      <c r="ED5" t="e">
        <f>AND(Data!I17,"AAAAAFP9/YU=")</f>
        <v>#VALUE!</v>
      </c>
      <c r="EE5" t="e">
        <f>AND(Data!J17,"AAAAAFP9/YY=")</f>
        <v>#VALUE!</v>
      </c>
      <c r="EF5" t="e">
        <f>AND(Data!K17,"AAAAAFP9/Yc=")</f>
        <v>#VALUE!</v>
      </c>
      <c r="EG5" t="e">
        <f>AND(Data!L17,"AAAAAFP9/Yg=")</f>
        <v>#VALUE!</v>
      </c>
      <c r="EH5" t="e">
        <f>AND(Data!M17,"AAAAAFP9/Yk=")</f>
        <v>#VALUE!</v>
      </c>
      <c r="EI5" t="e">
        <f>AND(Data!N17,"AAAAAFP9/Yo=")</f>
        <v>#VALUE!</v>
      </c>
      <c r="EJ5" t="e">
        <f>AND(Data!O17,"AAAAAFP9/Ys=")</f>
        <v>#VALUE!</v>
      </c>
      <c r="EK5" t="e">
        <f>AND(Data!P17,"AAAAAFP9/Yw=")</f>
        <v>#VALUE!</v>
      </c>
      <c r="EL5" t="e">
        <f>AND(Data!Q17,"AAAAAFP9/Y0=")</f>
        <v>#VALUE!</v>
      </c>
      <c r="EM5" t="e">
        <f>AND(Data!#REF!,"AAAAAFP9/Y4=")</f>
        <v>#REF!</v>
      </c>
      <c r="EN5" t="e">
        <f>AND(Data!#REF!,"AAAAAFP9/Y8=")</f>
        <v>#REF!</v>
      </c>
      <c r="EO5" t="e">
        <f>AND(Data!#REF!,"AAAAAFP9/ZA=")</f>
        <v>#REF!</v>
      </c>
      <c r="EP5" t="e">
        <f>AND(Data!#REF!,"AAAAAFP9/ZE=")</f>
        <v>#REF!</v>
      </c>
      <c r="EQ5" t="e">
        <f>AND(Data!#REF!,"AAAAAFP9/ZI=")</f>
        <v>#REF!</v>
      </c>
      <c r="ER5" t="e">
        <f>AND(Data!#REF!,"AAAAAFP9/ZM=")</f>
        <v>#REF!</v>
      </c>
      <c r="ES5" t="e">
        <f>AND(Data!#REF!,"AAAAAFP9/ZQ=")</f>
        <v>#REF!</v>
      </c>
      <c r="ET5" t="e">
        <f>AND(Data!#REF!,"AAAAAFP9/ZU=")</f>
        <v>#REF!</v>
      </c>
      <c r="EU5" t="e">
        <f>AND(Data!#REF!,"AAAAAFP9/ZY=")</f>
        <v>#REF!</v>
      </c>
      <c r="EV5" t="e">
        <f>AND(Data!#REF!,"AAAAAFP9/Zc=")</f>
        <v>#REF!</v>
      </c>
      <c r="EW5">
        <f>IF(Data!18:18,"AAAAAFP9/Zg=",0)</f>
        <v>0</v>
      </c>
      <c r="EX5" t="e">
        <f>AND(Data!A18,"AAAAAFP9/Zk=")</f>
        <v>#VALUE!</v>
      </c>
      <c r="EY5" t="e">
        <f>AND(Data!B18,"AAAAAFP9/Zo=")</f>
        <v>#VALUE!</v>
      </c>
      <c r="EZ5" t="e">
        <f>AND(Data!C18,"AAAAAFP9/Zs=")</f>
        <v>#VALUE!</v>
      </c>
      <c r="FA5" t="e">
        <f>AND(Data!D18,"AAAAAFP9/Zw=")</f>
        <v>#VALUE!</v>
      </c>
      <c r="FB5" t="e">
        <f>AND(Data!E18,"AAAAAFP9/Z0=")</f>
        <v>#VALUE!</v>
      </c>
      <c r="FC5" t="e">
        <f>AND(Data!F18,"AAAAAFP9/Z4=")</f>
        <v>#VALUE!</v>
      </c>
      <c r="FD5" t="e">
        <f>AND(Data!G18,"AAAAAFP9/Z8=")</f>
        <v>#VALUE!</v>
      </c>
      <c r="FE5" t="e">
        <f>AND(Data!H18,"AAAAAFP9/aA=")</f>
        <v>#VALUE!</v>
      </c>
      <c r="FF5" t="e">
        <f>AND(Data!I18,"AAAAAFP9/aE=")</f>
        <v>#VALUE!</v>
      </c>
      <c r="FG5" t="e">
        <f>AND(Data!J18,"AAAAAFP9/aI=")</f>
        <v>#VALUE!</v>
      </c>
      <c r="FH5" t="e">
        <f>AND(Data!K18,"AAAAAFP9/aM=")</f>
        <v>#VALUE!</v>
      </c>
      <c r="FI5" t="e">
        <f>AND(Data!L18,"AAAAAFP9/aQ=")</f>
        <v>#VALUE!</v>
      </c>
      <c r="FJ5" t="e">
        <f>AND(Data!M18,"AAAAAFP9/aU=")</f>
        <v>#VALUE!</v>
      </c>
      <c r="FK5" t="e">
        <f>AND(Data!N18,"AAAAAFP9/aY=")</f>
        <v>#VALUE!</v>
      </c>
      <c r="FL5" t="e">
        <f>AND(Data!O18,"AAAAAFP9/ac=")</f>
        <v>#VALUE!</v>
      </c>
      <c r="FM5" t="e">
        <f>AND(Data!P18,"AAAAAFP9/ag=")</f>
        <v>#VALUE!</v>
      </c>
      <c r="FN5" t="e">
        <f>AND(Data!Q18,"AAAAAFP9/ak=")</f>
        <v>#VALUE!</v>
      </c>
      <c r="FO5" t="e">
        <f>AND(Data!#REF!,"AAAAAFP9/ao=")</f>
        <v>#REF!</v>
      </c>
      <c r="FP5" t="e">
        <f>AND(Data!#REF!,"AAAAAFP9/as=")</f>
        <v>#REF!</v>
      </c>
      <c r="FQ5" t="e">
        <f>AND(Data!#REF!,"AAAAAFP9/aw=")</f>
        <v>#REF!</v>
      </c>
      <c r="FR5" t="e">
        <f>AND(Data!#REF!,"AAAAAFP9/a0=")</f>
        <v>#REF!</v>
      </c>
      <c r="FS5" t="e">
        <f>AND(Data!#REF!,"AAAAAFP9/a4=")</f>
        <v>#REF!</v>
      </c>
      <c r="FT5" t="e">
        <f>AND(Data!#REF!,"AAAAAFP9/a8=")</f>
        <v>#REF!</v>
      </c>
      <c r="FU5" t="e">
        <f>AND(Data!#REF!,"AAAAAFP9/bA=")</f>
        <v>#REF!</v>
      </c>
      <c r="FV5" t="e">
        <f>AND(Data!#REF!,"AAAAAFP9/bE=")</f>
        <v>#REF!</v>
      </c>
      <c r="FW5" t="e">
        <f>AND(Data!#REF!,"AAAAAFP9/bI=")</f>
        <v>#REF!</v>
      </c>
      <c r="FX5" t="e">
        <f>AND(Data!#REF!,"AAAAAFP9/bM=")</f>
        <v>#REF!</v>
      </c>
      <c r="FY5">
        <f>IF(Data!19:19,"AAAAAFP9/bQ=",0)</f>
        <v>0</v>
      </c>
      <c r="FZ5" t="e">
        <f>AND(Data!A19,"AAAAAFP9/bU=")</f>
        <v>#VALUE!</v>
      </c>
      <c r="GA5" t="e">
        <f>AND(Data!B19,"AAAAAFP9/bY=")</f>
        <v>#VALUE!</v>
      </c>
      <c r="GB5" t="e">
        <f>AND(Data!C19,"AAAAAFP9/bc=")</f>
        <v>#VALUE!</v>
      </c>
      <c r="GC5" t="e">
        <f>AND(Data!D19,"AAAAAFP9/bg=")</f>
        <v>#VALUE!</v>
      </c>
      <c r="GD5" t="e">
        <f>AND(Data!E19,"AAAAAFP9/bk=")</f>
        <v>#VALUE!</v>
      </c>
      <c r="GE5" t="e">
        <f>AND(Data!F19,"AAAAAFP9/bo=")</f>
        <v>#VALUE!</v>
      </c>
      <c r="GF5" t="e">
        <f>AND(Data!G19,"AAAAAFP9/bs=")</f>
        <v>#VALUE!</v>
      </c>
      <c r="GG5" t="e">
        <f>AND(Data!H19,"AAAAAFP9/bw=")</f>
        <v>#VALUE!</v>
      </c>
      <c r="GH5" t="e">
        <f>AND(Data!I19,"AAAAAFP9/b0=")</f>
        <v>#VALUE!</v>
      </c>
      <c r="GI5" t="e">
        <f>AND(Data!J19,"AAAAAFP9/b4=")</f>
        <v>#VALUE!</v>
      </c>
      <c r="GJ5" t="e">
        <f>AND(Data!K19,"AAAAAFP9/b8=")</f>
        <v>#VALUE!</v>
      </c>
      <c r="GK5" t="e">
        <f>AND(Data!L19,"AAAAAFP9/cA=")</f>
        <v>#VALUE!</v>
      </c>
      <c r="GL5" t="e">
        <f>AND(Data!M19,"AAAAAFP9/cE=")</f>
        <v>#VALUE!</v>
      </c>
      <c r="GM5" t="e">
        <f>AND(Data!N19,"AAAAAFP9/cI=")</f>
        <v>#VALUE!</v>
      </c>
      <c r="GN5" t="e">
        <f>AND(Data!O19,"AAAAAFP9/cM=")</f>
        <v>#VALUE!</v>
      </c>
      <c r="GO5" t="e">
        <f>AND(Data!P19,"AAAAAFP9/cQ=")</f>
        <v>#VALUE!</v>
      </c>
      <c r="GP5" t="e">
        <f>AND(Data!Q19,"AAAAAFP9/cU=")</f>
        <v>#VALUE!</v>
      </c>
      <c r="GQ5" t="e">
        <f>AND(Data!#REF!,"AAAAAFP9/cY=")</f>
        <v>#REF!</v>
      </c>
      <c r="GR5" t="e">
        <f>AND(Data!#REF!,"AAAAAFP9/cc=")</f>
        <v>#REF!</v>
      </c>
      <c r="GS5" t="e">
        <f>AND(Data!#REF!,"AAAAAFP9/cg=")</f>
        <v>#REF!</v>
      </c>
      <c r="GT5" t="e">
        <f>AND(Data!#REF!,"AAAAAFP9/ck=")</f>
        <v>#REF!</v>
      </c>
      <c r="GU5" t="e">
        <f>AND(Data!#REF!,"AAAAAFP9/co=")</f>
        <v>#REF!</v>
      </c>
      <c r="GV5" t="e">
        <f>AND(Data!#REF!,"AAAAAFP9/cs=")</f>
        <v>#REF!</v>
      </c>
      <c r="GW5" t="e">
        <f>AND(Data!#REF!,"AAAAAFP9/cw=")</f>
        <v>#REF!</v>
      </c>
      <c r="GX5" t="e">
        <f>AND(Data!#REF!,"AAAAAFP9/c0=")</f>
        <v>#REF!</v>
      </c>
      <c r="GY5" t="e">
        <f>AND(Data!#REF!,"AAAAAFP9/c4=")</f>
        <v>#REF!</v>
      </c>
      <c r="GZ5" t="e">
        <f>AND(Data!#REF!,"AAAAAFP9/c8=")</f>
        <v>#REF!</v>
      </c>
      <c r="HA5">
        <f>IF(Data!20:20,"AAAAAFP9/dA=",0)</f>
        <v>0</v>
      </c>
      <c r="HB5" t="e">
        <f>AND(Data!A20,"AAAAAFP9/dE=")</f>
        <v>#VALUE!</v>
      </c>
      <c r="HC5" t="e">
        <f>AND(Data!B20,"AAAAAFP9/dI=")</f>
        <v>#VALUE!</v>
      </c>
      <c r="HD5" t="e">
        <f>AND(Data!C20,"AAAAAFP9/dM=")</f>
        <v>#VALUE!</v>
      </c>
      <c r="HE5" t="e">
        <f>AND(Data!D20,"AAAAAFP9/dQ=")</f>
        <v>#VALUE!</v>
      </c>
      <c r="HF5" t="e">
        <f>AND(Data!E20,"AAAAAFP9/dU=")</f>
        <v>#VALUE!</v>
      </c>
      <c r="HG5" t="e">
        <f>AND(Data!F20,"AAAAAFP9/dY=")</f>
        <v>#VALUE!</v>
      </c>
      <c r="HH5" t="e">
        <f>AND(Data!G20,"AAAAAFP9/dc=")</f>
        <v>#VALUE!</v>
      </c>
      <c r="HI5" t="e">
        <f>AND(Data!H20,"AAAAAFP9/dg=")</f>
        <v>#VALUE!</v>
      </c>
      <c r="HJ5" t="e">
        <f>AND(Data!I20,"AAAAAFP9/dk=")</f>
        <v>#VALUE!</v>
      </c>
      <c r="HK5" t="e">
        <f>AND(Data!J20,"AAAAAFP9/do=")</f>
        <v>#VALUE!</v>
      </c>
      <c r="HL5" t="e">
        <f>AND(Data!K20,"AAAAAFP9/ds=")</f>
        <v>#VALUE!</v>
      </c>
      <c r="HM5" t="e">
        <f>AND(Data!L20,"AAAAAFP9/dw=")</f>
        <v>#VALUE!</v>
      </c>
      <c r="HN5" t="e">
        <f>AND(Data!M20,"AAAAAFP9/d0=")</f>
        <v>#VALUE!</v>
      </c>
      <c r="HO5" t="e">
        <f>AND(Data!N20,"AAAAAFP9/d4=")</f>
        <v>#VALUE!</v>
      </c>
      <c r="HP5" t="e">
        <f>AND(Data!O20,"AAAAAFP9/d8=")</f>
        <v>#VALUE!</v>
      </c>
      <c r="HQ5" t="e">
        <f>AND(Data!P20,"AAAAAFP9/eA=")</f>
        <v>#VALUE!</v>
      </c>
      <c r="HR5" t="e">
        <f>AND(Data!Q20,"AAAAAFP9/eE=")</f>
        <v>#VALUE!</v>
      </c>
      <c r="HS5" t="e">
        <f>AND(Data!#REF!,"AAAAAFP9/eI=")</f>
        <v>#REF!</v>
      </c>
      <c r="HT5" t="e">
        <f>AND(Data!#REF!,"AAAAAFP9/eM=")</f>
        <v>#REF!</v>
      </c>
      <c r="HU5" t="e">
        <f>AND(Data!#REF!,"AAAAAFP9/eQ=")</f>
        <v>#REF!</v>
      </c>
      <c r="HV5" t="e">
        <f>AND(Data!#REF!,"AAAAAFP9/eU=")</f>
        <v>#REF!</v>
      </c>
      <c r="HW5" t="e">
        <f>AND(Data!#REF!,"AAAAAFP9/eY=")</f>
        <v>#REF!</v>
      </c>
      <c r="HX5" t="e">
        <f>AND(Data!#REF!,"AAAAAFP9/ec=")</f>
        <v>#REF!</v>
      </c>
      <c r="HY5" t="e">
        <f>AND(Data!#REF!,"AAAAAFP9/eg=")</f>
        <v>#REF!</v>
      </c>
      <c r="HZ5" t="e">
        <f>AND(Data!#REF!,"AAAAAFP9/ek=")</f>
        <v>#REF!</v>
      </c>
      <c r="IA5" t="e">
        <f>AND(Data!#REF!,"AAAAAFP9/eo=")</f>
        <v>#REF!</v>
      </c>
      <c r="IB5" t="e">
        <f>AND(Data!#REF!,"AAAAAFP9/es=")</f>
        <v>#REF!</v>
      </c>
      <c r="IC5">
        <f>IF(Data!21:21,"AAAAAFP9/ew=",0)</f>
        <v>0</v>
      </c>
      <c r="ID5" t="e">
        <f>AND(Data!A21,"AAAAAFP9/e0=")</f>
        <v>#VALUE!</v>
      </c>
      <c r="IE5" t="e">
        <f>AND(Data!B21,"AAAAAFP9/e4=")</f>
        <v>#VALUE!</v>
      </c>
      <c r="IF5" t="e">
        <f>AND(Data!C21,"AAAAAFP9/e8=")</f>
        <v>#VALUE!</v>
      </c>
      <c r="IG5" t="e">
        <f>AND(Data!D21,"AAAAAFP9/fA=")</f>
        <v>#VALUE!</v>
      </c>
      <c r="IH5" t="e">
        <f>AND(Data!E21,"AAAAAFP9/fE=")</f>
        <v>#VALUE!</v>
      </c>
      <c r="II5" t="e">
        <f>AND(Data!F21,"AAAAAFP9/fI=")</f>
        <v>#VALUE!</v>
      </c>
      <c r="IJ5" t="e">
        <f>AND(Data!G21,"AAAAAFP9/fM=")</f>
        <v>#VALUE!</v>
      </c>
      <c r="IK5" t="e">
        <f>AND(Data!H21,"AAAAAFP9/fQ=")</f>
        <v>#VALUE!</v>
      </c>
      <c r="IL5" t="e">
        <f>AND(Data!I21,"AAAAAFP9/fU=")</f>
        <v>#VALUE!</v>
      </c>
      <c r="IM5" t="e">
        <f>AND(Data!J21,"AAAAAFP9/fY=")</f>
        <v>#VALUE!</v>
      </c>
      <c r="IN5" t="e">
        <f>AND(Data!K21,"AAAAAFP9/fc=")</f>
        <v>#VALUE!</v>
      </c>
      <c r="IO5" t="e">
        <f>AND(Data!L21,"AAAAAFP9/fg=")</f>
        <v>#VALUE!</v>
      </c>
      <c r="IP5" t="e">
        <f>AND(Data!M21,"AAAAAFP9/fk=")</f>
        <v>#VALUE!</v>
      </c>
      <c r="IQ5" t="e">
        <f>AND(Data!N21,"AAAAAFP9/fo=")</f>
        <v>#VALUE!</v>
      </c>
      <c r="IR5" t="e">
        <f>AND(Data!O21,"AAAAAFP9/fs=")</f>
        <v>#VALUE!</v>
      </c>
      <c r="IS5" t="e">
        <f>AND(Data!P21,"AAAAAFP9/fw=")</f>
        <v>#VALUE!</v>
      </c>
      <c r="IT5" t="e">
        <f>AND(Data!Q21,"AAAAAFP9/f0=")</f>
        <v>#VALUE!</v>
      </c>
      <c r="IU5" t="e">
        <f>AND(Data!#REF!,"AAAAAFP9/f4=")</f>
        <v>#REF!</v>
      </c>
      <c r="IV5" t="e">
        <f>AND(Data!#REF!,"AAAAAFP9/f8=")</f>
        <v>#REF!</v>
      </c>
    </row>
    <row r="6" spans="1:256">
      <c r="A6" t="e">
        <f>AND(Data!#REF!,"AAAAAF937AA=")</f>
        <v>#REF!</v>
      </c>
      <c r="B6" t="e">
        <f>AND(Data!#REF!,"AAAAAF937AE=")</f>
        <v>#REF!</v>
      </c>
      <c r="C6" t="e">
        <f>AND(Data!#REF!,"AAAAAF937AI=")</f>
        <v>#REF!</v>
      </c>
      <c r="D6" t="e">
        <f>AND(Data!#REF!,"AAAAAF937AM=")</f>
        <v>#REF!</v>
      </c>
      <c r="E6" t="e">
        <f>AND(Data!#REF!,"AAAAAF937AQ=")</f>
        <v>#REF!</v>
      </c>
      <c r="F6" t="e">
        <f>AND(Data!#REF!,"AAAAAF937AU=")</f>
        <v>#REF!</v>
      </c>
      <c r="G6" t="e">
        <f>AND(Data!#REF!,"AAAAAF937AY=")</f>
        <v>#REF!</v>
      </c>
      <c r="H6" t="e">
        <f>AND(Data!#REF!,"AAAAAF937Ac=")</f>
        <v>#REF!</v>
      </c>
      <c r="I6" t="str">
        <f>IF(Data!22:22,"AAAAAF937Ag=",0)</f>
        <v>AAAAAF937Ag=</v>
      </c>
      <c r="J6" t="e">
        <f>AND(Data!A22,"AAAAAF937Ak=")</f>
        <v>#VALUE!</v>
      </c>
      <c r="K6" t="e">
        <f>AND(Data!B22,"AAAAAF937Ao=")</f>
        <v>#VALUE!</v>
      </c>
      <c r="L6" t="e">
        <f>AND(Data!C22,"AAAAAF937As=")</f>
        <v>#VALUE!</v>
      </c>
      <c r="M6" t="e">
        <f>AND(Data!D22,"AAAAAF937Aw=")</f>
        <v>#VALUE!</v>
      </c>
      <c r="N6" t="e">
        <f>AND(Data!E22,"AAAAAF937A0=")</f>
        <v>#VALUE!</v>
      </c>
      <c r="O6" t="e">
        <f>AND(Data!F22,"AAAAAF937A4=")</f>
        <v>#VALUE!</v>
      </c>
      <c r="P6" t="e">
        <f>AND(Data!G22,"AAAAAF937A8=")</f>
        <v>#VALUE!</v>
      </c>
      <c r="Q6" t="e">
        <f>AND(Data!H22,"AAAAAF937BA=")</f>
        <v>#VALUE!</v>
      </c>
      <c r="R6" t="e">
        <f>AND(Data!I22,"AAAAAF937BE=")</f>
        <v>#VALUE!</v>
      </c>
      <c r="S6" t="e">
        <f>AND(Data!J22,"AAAAAF937BI=")</f>
        <v>#VALUE!</v>
      </c>
      <c r="T6" t="e">
        <f>AND(Data!K22,"AAAAAF937BM=")</f>
        <v>#VALUE!</v>
      </c>
      <c r="U6" t="e">
        <f>AND(Data!L22,"AAAAAF937BQ=")</f>
        <v>#VALUE!</v>
      </c>
      <c r="V6" t="e">
        <f>AND(Data!M22,"AAAAAF937BU=")</f>
        <v>#VALUE!</v>
      </c>
      <c r="W6" t="e">
        <f>AND(Data!N22,"AAAAAF937BY=")</f>
        <v>#VALUE!</v>
      </c>
      <c r="X6" t="e">
        <f>AND(Data!O22,"AAAAAF937Bc=")</f>
        <v>#VALUE!</v>
      </c>
      <c r="Y6" t="e">
        <f>AND(Data!P22,"AAAAAF937Bg=")</f>
        <v>#VALUE!</v>
      </c>
      <c r="Z6" t="e">
        <f>AND(Data!Q22,"AAAAAF937Bk=")</f>
        <v>#VALUE!</v>
      </c>
      <c r="AA6" t="e">
        <f>AND(Data!#REF!,"AAAAAF937Bo=")</f>
        <v>#REF!</v>
      </c>
      <c r="AB6" t="e">
        <f>AND(Data!#REF!,"AAAAAF937Bs=")</f>
        <v>#REF!</v>
      </c>
      <c r="AC6" t="e">
        <f>AND(Data!#REF!,"AAAAAF937Bw=")</f>
        <v>#REF!</v>
      </c>
      <c r="AD6" t="e">
        <f>AND(Data!#REF!,"AAAAAF937B0=")</f>
        <v>#REF!</v>
      </c>
      <c r="AE6" t="e">
        <f>AND(Data!#REF!,"AAAAAF937B4=")</f>
        <v>#REF!</v>
      </c>
      <c r="AF6" t="e">
        <f>AND(Data!#REF!,"AAAAAF937B8=")</f>
        <v>#REF!</v>
      </c>
      <c r="AG6" t="e">
        <f>AND(Data!#REF!,"AAAAAF937CA=")</f>
        <v>#REF!</v>
      </c>
      <c r="AH6" t="e">
        <f>AND(Data!#REF!,"AAAAAF937CE=")</f>
        <v>#REF!</v>
      </c>
      <c r="AI6" t="e">
        <f>AND(Data!#REF!,"AAAAAF937CI=")</f>
        <v>#REF!</v>
      </c>
      <c r="AJ6" t="e">
        <f>AND(Data!#REF!,"AAAAAF937CM=")</f>
        <v>#REF!</v>
      </c>
      <c r="AK6">
        <f>IF(Data!23:23,"AAAAAF937CQ=",0)</f>
        <v>0</v>
      </c>
      <c r="AL6" t="e">
        <f>AND(Data!A23,"AAAAAF937CU=")</f>
        <v>#VALUE!</v>
      </c>
      <c r="AM6" t="e">
        <f>AND(Data!B23,"AAAAAF937CY=")</f>
        <v>#VALUE!</v>
      </c>
      <c r="AN6" t="e">
        <f>AND(Data!C23,"AAAAAF937Cc=")</f>
        <v>#VALUE!</v>
      </c>
      <c r="AO6" t="e">
        <f>AND(Data!D23,"AAAAAF937Cg=")</f>
        <v>#VALUE!</v>
      </c>
      <c r="AP6" t="e">
        <f>AND(Data!E23,"AAAAAF937Ck=")</f>
        <v>#VALUE!</v>
      </c>
      <c r="AQ6" t="e">
        <f>AND(Data!F23,"AAAAAF937Co=")</f>
        <v>#VALUE!</v>
      </c>
      <c r="AR6" t="e">
        <f>AND(Data!G23,"AAAAAF937Cs=")</f>
        <v>#VALUE!</v>
      </c>
      <c r="AS6" t="e">
        <f>AND(Data!H23,"AAAAAF937Cw=")</f>
        <v>#VALUE!</v>
      </c>
      <c r="AT6" t="e">
        <f>AND(Data!I23,"AAAAAF937C0=")</f>
        <v>#VALUE!</v>
      </c>
      <c r="AU6" t="e">
        <f>AND(Data!J23,"AAAAAF937C4=")</f>
        <v>#VALUE!</v>
      </c>
      <c r="AV6" t="e">
        <f>AND(Data!K23,"AAAAAF937C8=")</f>
        <v>#VALUE!</v>
      </c>
      <c r="AW6" t="e">
        <f>AND(Data!L23,"AAAAAF937DA=")</f>
        <v>#VALUE!</v>
      </c>
      <c r="AX6" t="e">
        <f>AND(Data!M23,"AAAAAF937DE=")</f>
        <v>#VALUE!</v>
      </c>
      <c r="AY6" t="e">
        <f>AND(Data!N23,"AAAAAF937DI=")</f>
        <v>#VALUE!</v>
      </c>
      <c r="AZ6" t="e">
        <f>AND(Data!O23,"AAAAAF937DM=")</f>
        <v>#VALUE!</v>
      </c>
      <c r="BA6" t="e">
        <f>AND(Data!P23,"AAAAAF937DQ=")</f>
        <v>#VALUE!</v>
      </c>
      <c r="BB6" t="e">
        <f>AND(Data!Q23,"AAAAAF937DU=")</f>
        <v>#VALUE!</v>
      </c>
      <c r="BC6" t="e">
        <f>AND(Data!#REF!,"AAAAAF937DY=")</f>
        <v>#REF!</v>
      </c>
      <c r="BD6" t="e">
        <f>AND(Data!#REF!,"AAAAAF937Dc=")</f>
        <v>#REF!</v>
      </c>
      <c r="BE6" t="e">
        <f>AND(Data!#REF!,"AAAAAF937Dg=")</f>
        <v>#REF!</v>
      </c>
      <c r="BF6" t="e">
        <f>AND(Data!#REF!,"AAAAAF937Dk=")</f>
        <v>#REF!</v>
      </c>
      <c r="BG6" t="e">
        <f>AND(Data!#REF!,"AAAAAF937Do=")</f>
        <v>#REF!</v>
      </c>
      <c r="BH6" t="e">
        <f>AND(Data!#REF!,"AAAAAF937Ds=")</f>
        <v>#REF!</v>
      </c>
      <c r="BI6" t="e">
        <f>AND(Data!#REF!,"AAAAAF937Dw=")</f>
        <v>#REF!</v>
      </c>
      <c r="BJ6" t="e">
        <f>AND(Data!#REF!,"AAAAAF937D0=")</f>
        <v>#REF!</v>
      </c>
      <c r="BK6" t="e">
        <f>AND(Data!#REF!,"AAAAAF937D4=")</f>
        <v>#REF!</v>
      </c>
      <c r="BL6" t="e">
        <f>AND(Data!#REF!,"AAAAAF937D8=")</f>
        <v>#REF!</v>
      </c>
      <c r="BM6">
        <f>IF(Data!24:24,"AAAAAF937EA=",0)</f>
        <v>0</v>
      </c>
      <c r="BN6" t="e">
        <f>AND(Data!A24,"AAAAAF937EE=")</f>
        <v>#VALUE!</v>
      </c>
      <c r="BO6" t="e">
        <f>AND(Data!B24,"AAAAAF937EI=")</f>
        <v>#VALUE!</v>
      </c>
      <c r="BP6" t="e">
        <f>AND(Data!C24,"AAAAAF937EM=")</f>
        <v>#VALUE!</v>
      </c>
      <c r="BQ6" t="e">
        <f>AND(Data!D24,"AAAAAF937EQ=")</f>
        <v>#VALUE!</v>
      </c>
      <c r="BR6" t="e">
        <f>AND(Data!E24,"AAAAAF937EU=")</f>
        <v>#VALUE!</v>
      </c>
      <c r="BS6" t="e">
        <f>AND(Data!F24,"AAAAAF937EY=")</f>
        <v>#VALUE!</v>
      </c>
      <c r="BT6" t="e">
        <f>AND(Data!G24,"AAAAAF937Ec=")</f>
        <v>#VALUE!</v>
      </c>
      <c r="BU6" t="e">
        <f>AND(Data!H24,"AAAAAF937Eg=")</f>
        <v>#VALUE!</v>
      </c>
      <c r="BV6" t="e">
        <f>AND(Data!I24,"AAAAAF937Ek=")</f>
        <v>#VALUE!</v>
      </c>
      <c r="BW6" t="e">
        <f>AND(Data!J24,"AAAAAF937Eo=")</f>
        <v>#VALUE!</v>
      </c>
      <c r="BX6" t="e">
        <f>AND(Data!K24,"AAAAAF937Es=")</f>
        <v>#VALUE!</v>
      </c>
      <c r="BY6" t="e">
        <f>AND(Data!L24,"AAAAAF937Ew=")</f>
        <v>#VALUE!</v>
      </c>
      <c r="BZ6" t="e">
        <f>AND(Data!M24,"AAAAAF937E0=")</f>
        <v>#VALUE!</v>
      </c>
      <c r="CA6" t="e">
        <f>AND(Data!N24,"AAAAAF937E4=")</f>
        <v>#VALUE!</v>
      </c>
      <c r="CB6" t="e">
        <f>AND(Data!O24,"AAAAAF937E8=")</f>
        <v>#VALUE!</v>
      </c>
      <c r="CC6" t="e">
        <f>AND(Data!P24,"AAAAAF937FA=")</f>
        <v>#VALUE!</v>
      </c>
      <c r="CD6" t="e">
        <f>AND(Data!Q24,"AAAAAF937FE=")</f>
        <v>#VALUE!</v>
      </c>
      <c r="CE6" t="e">
        <f>AND(Data!#REF!,"AAAAAF937FI=")</f>
        <v>#REF!</v>
      </c>
      <c r="CF6" t="e">
        <f>AND(Data!#REF!,"AAAAAF937FM=")</f>
        <v>#REF!</v>
      </c>
      <c r="CG6" t="e">
        <f>AND(Data!#REF!,"AAAAAF937FQ=")</f>
        <v>#REF!</v>
      </c>
      <c r="CH6" t="e">
        <f>AND(Data!#REF!,"AAAAAF937FU=")</f>
        <v>#REF!</v>
      </c>
      <c r="CI6" t="e">
        <f>AND(Data!#REF!,"AAAAAF937FY=")</f>
        <v>#REF!</v>
      </c>
      <c r="CJ6" t="e">
        <f>AND(Data!#REF!,"AAAAAF937Fc=")</f>
        <v>#REF!</v>
      </c>
      <c r="CK6" t="e">
        <f>AND(Data!#REF!,"AAAAAF937Fg=")</f>
        <v>#REF!</v>
      </c>
      <c r="CL6" t="e">
        <f>AND(Data!#REF!,"AAAAAF937Fk=")</f>
        <v>#REF!</v>
      </c>
      <c r="CM6" t="e">
        <f>AND(Data!#REF!,"AAAAAF937Fo=")</f>
        <v>#REF!</v>
      </c>
      <c r="CN6" t="e">
        <f>AND(Data!#REF!,"AAAAAF937Fs=")</f>
        <v>#REF!</v>
      </c>
      <c r="CO6">
        <f>IF(Data!25:25,"AAAAAF937Fw=",0)</f>
        <v>0</v>
      </c>
      <c r="CP6" t="e">
        <f>AND(Data!A25,"AAAAAF937F0=")</f>
        <v>#VALUE!</v>
      </c>
      <c r="CQ6" t="e">
        <f>AND(Data!B25,"AAAAAF937F4=")</f>
        <v>#VALUE!</v>
      </c>
      <c r="CR6" t="e">
        <f>AND(Data!C25,"AAAAAF937F8=")</f>
        <v>#VALUE!</v>
      </c>
      <c r="CS6" t="e">
        <f>AND(Data!D25,"AAAAAF937GA=")</f>
        <v>#VALUE!</v>
      </c>
      <c r="CT6" t="e">
        <f>AND(Data!E25,"AAAAAF937GE=")</f>
        <v>#VALUE!</v>
      </c>
      <c r="CU6" t="e">
        <f>AND(Data!F25,"AAAAAF937GI=")</f>
        <v>#VALUE!</v>
      </c>
      <c r="CV6" t="e">
        <f>AND(Data!G25,"AAAAAF937GM=")</f>
        <v>#VALUE!</v>
      </c>
      <c r="CW6" t="e">
        <f>AND(Data!H25,"AAAAAF937GQ=")</f>
        <v>#VALUE!</v>
      </c>
      <c r="CX6" t="e">
        <f>AND(Data!I25,"AAAAAF937GU=")</f>
        <v>#VALUE!</v>
      </c>
      <c r="CY6" t="e">
        <f>AND(Data!J25,"AAAAAF937GY=")</f>
        <v>#VALUE!</v>
      </c>
      <c r="CZ6" t="e">
        <f>AND(Data!K25,"AAAAAF937Gc=")</f>
        <v>#VALUE!</v>
      </c>
      <c r="DA6" t="e">
        <f>AND(Data!L25,"AAAAAF937Gg=")</f>
        <v>#VALUE!</v>
      </c>
      <c r="DB6" t="e">
        <f>AND(Data!M25,"AAAAAF937Gk=")</f>
        <v>#VALUE!</v>
      </c>
      <c r="DC6" t="e">
        <f>AND(Data!N25,"AAAAAF937Go=")</f>
        <v>#VALUE!</v>
      </c>
      <c r="DD6" t="e">
        <f>AND(Data!O25,"AAAAAF937Gs=")</f>
        <v>#VALUE!</v>
      </c>
      <c r="DE6" t="e">
        <f>AND(Data!P25,"AAAAAF937Gw=")</f>
        <v>#VALUE!</v>
      </c>
      <c r="DF6" t="e">
        <f>AND(Data!Q25,"AAAAAF937G0=")</f>
        <v>#VALUE!</v>
      </c>
      <c r="DG6" t="e">
        <f>AND(Data!#REF!,"AAAAAF937G4=")</f>
        <v>#REF!</v>
      </c>
      <c r="DH6" t="e">
        <f>AND(Data!#REF!,"AAAAAF937G8=")</f>
        <v>#REF!</v>
      </c>
      <c r="DI6" t="e">
        <f>AND(Data!#REF!,"AAAAAF937HA=")</f>
        <v>#REF!</v>
      </c>
      <c r="DJ6" t="e">
        <f>AND(Data!#REF!,"AAAAAF937HE=")</f>
        <v>#REF!</v>
      </c>
      <c r="DK6" t="e">
        <f>AND(Data!#REF!,"AAAAAF937HI=")</f>
        <v>#REF!</v>
      </c>
      <c r="DL6" t="e">
        <f>AND(Data!#REF!,"AAAAAF937HM=")</f>
        <v>#REF!</v>
      </c>
      <c r="DM6" t="e">
        <f>AND(Data!#REF!,"AAAAAF937HQ=")</f>
        <v>#REF!</v>
      </c>
      <c r="DN6" t="e">
        <f>AND(Data!#REF!,"AAAAAF937HU=")</f>
        <v>#REF!</v>
      </c>
      <c r="DO6" t="e">
        <f>AND(Data!#REF!,"AAAAAF937HY=")</f>
        <v>#REF!</v>
      </c>
      <c r="DP6" t="e">
        <f>AND(Data!#REF!,"AAAAAF937Hc=")</f>
        <v>#REF!</v>
      </c>
      <c r="DQ6">
        <f>IF(Data!26:26,"AAAAAF937Hg=",0)</f>
        <v>0</v>
      </c>
      <c r="DR6" t="e">
        <f>AND(Data!A26,"AAAAAF937Hk=")</f>
        <v>#VALUE!</v>
      </c>
      <c r="DS6" t="e">
        <f>AND(Data!B26,"AAAAAF937Ho=")</f>
        <v>#VALUE!</v>
      </c>
      <c r="DT6" t="e">
        <f>AND(Data!C26,"AAAAAF937Hs=")</f>
        <v>#VALUE!</v>
      </c>
      <c r="DU6" t="e">
        <f>AND(Data!D26,"AAAAAF937Hw=")</f>
        <v>#VALUE!</v>
      </c>
      <c r="DV6" t="e">
        <f>AND(Data!E26,"AAAAAF937H0=")</f>
        <v>#VALUE!</v>
      </c>
      <c r="DW6" t="e">
        <f>AND(Data!F26,"AAAAAF937H4=")</f>
        <v>#VALUE!</v>
      </c>
      <c r="DX6" t="e">
        <f>AND(Data!G26,"AAAAAF937H8=")</f>
        <v>#VALUE!</v>
      </c>
      <c r="DY6" t="e">
        <f>AND(Data!H26,"AAAAAF937IA=")</f>
        <v>#VALUE!</v>
      </c>
      <c r="DZ6" t="e">
        <f>AND(Data!I26,"AAAAAF937IE=")</f>
        <v>#VALUE!</v>
      </c>
      <c r="EA6" t="e">
        <f>AND(Data!J26,"AAAAAF937II=")</f>
        <v>#VALUE!</v>
      </c>
      <c r="EB6" t="e">
        <f>AND(Data!K26,"AAAAAF937IM=")</f>
        <v>#VALUE!</v>
      </c>
      <c r="EC6" t="e">
        <f>AND(Data!L26,"AAAAAF937IQ=")</f>
        <v>#VALUE!</v>
      </c>
      <c r="ED6" t="e">
        <f>AND(Data!M26,"AAAAAF937IU=")</f>
        <v>#VALUE!</v>
      </c>
      <c r="EE6" t="e">
        <f>AND(Data!N26,"AAAAAF937IY=")</f>
        <v>#VALUE!</v>
      </c>
      <c r="EF6" t="e">
        <f>AND(Data!O26,"AAAAAF937Ic=")</f>
        <v>#VALUE!</v>
      </c>
      <c r="EG6" t="e">
        <f>AND(Data!P26,"AAAAAF937Ig=")</f>
        <v>#VALUE!</v>
      </c>
      <c r="EH6" t="e">
        <f>AND(Data!Q26,"AAAAAF937Ik=")</f>
        <v>#VALUE!</v>
      </c>
      <c r="EI6" t="e">
        <f>AND(Data!#REF!,"AAAAAF937Io=")</f>
        <v>#REF!</v>
      </c>
      <c r="EJ6" t="e">
        <f>AND(Data!#REF!,"AAAAAF937Is=")</f>
        <v>#REF!</v>
      </c>
      <c r="EK6" t="e">
        <f>AND(Data!#REF!,"AAAAAF937Iw=")</f>
        <v>#REF!</v>
      </c>
      <c r="EL6" t="e">
        <f>AND(Data!#REF!,"AAAAAF937I0=")</f>
        <v>#REF!</v>
      </c>
      <c r="EM6" t="e">
        <f>AND(Data!#REF!,"AAAAAF937I4=")</f>
        <v>#REF!</v>
      </c>
      <c r="EN6" t="e">
        <f>AND(Data!#REF!,"AAAAAF937I8=")</f>
        <v>#REF!</v>
      </c>
      <c r="EO6" t="e">
        <f>AND(Data!#REF!,"AAAAAF937JA=")</f>
        <v>#REF!</v>
      </c>
      <c r="EP6" t="e">
        <f>AND(Data!#REF!,"AAAAAF937JE=")</f>
        <v>#REF!</v>
      </c>
      <c r="EQ6" t="e">
        <f>AND(Data!#REF!,"AAAAAF937JI=")</f>
        <v>#REF!</v>
      </c>
      <c r="ER6" t="e">
        <f>AND(Data!#REF!,"AAAAAF937JM=")</f>
        <v>#REF!</v>
      </c>
      <c r="ES6">
        <f>IF(Data!27:27,"AAAAAF937JQ=",0)</f>
        <v>0</v>
      </c>
      <c r="ET6" t="e">
        <f>AND(Data!A27,"AAAAAF937JU=")</f>
        <v>#VALUE!</v>
      </c>
      <c r="EU6" t="e">
        <f>AND(Data!B27,"AAAAAF937JY=")</f>
        <v>#VALUE!</v>
      </c>
      <c r="EV6" t="e">
        <f>AND(Data!C27,"AAAAAF937Jc=")</f>
        <v>#VALUE!</v>
      </c>
      <c r="EW6" t="e">
        <f>AND(Data!D27,"AAAAAF937Jg=")</f>
        <v>#VALUE!</v>
      </c>
      <c r="EX6" t="e">
        <f>AND(Data!E27,"AAAAAF937Jk=")</f>
        <v>#VALUE!</v>
      </c>
      <c r="EY6" t="e">
        <f>AND(Data!F27,"AAAAAF937Jo=")</f>
        <v>#VALUE!</v>
      </c>
      <c r="EZ6" t="e">
        <f>AND(Data!G27,"AAAAAF937Js=")</f>
        <v>#VALUE!</v>
      </c>
      <c r="FA6" t="e">
        <f>AND(Data!H27,"AAAAAF937Jw=")</f>
        <v>#VALUE!</v>
      </c>
      <c r="FB6" t="e">
        <f>AND(Data!I27,"AAAAAF937J0=")</f>
        <v>#VALUE!</v>
      </c>
      <c r="FC6" t="e">
        <f>AND(Data!J27,"AAAAAF937J4=")</f>
        <v>#VALUE!</v>
      </c>
      <c r="FD6" t="e">
        <f>AND(Data!K27,"AAAAAF937J8=")</f>
        <v>#VALUE!</v>
      </c>
      <c r="FE6" t="e">
        <f>AND(Data!L27,"AAAAAF937KA=")</f>
        <v>#VALUE!</v>
      </c>
      <c r="FF6" t="e">
        <f>AND(Data!M27,"AAAAAF937KE=")</f>
        <v>#VALUE!</v>
      </c>
      <c r="FG6" t="e">
        <f>AND(Data!N27,"AAAAAF937KI=")</f>
        <v>#VALUE!</v>
      </c>
      <c r="FH6" t="e">
        <f>AND(Data!O27,"AAAAAF937KM=")</f>
        <v>#VALUE!</v>
      </c>
      <c r="FI6" t="e">
        <f>AND(Data!P27,"AAAAAF937KQ=")</f>
        <v>#VALUE!</v>
      </c>
      <c r="FJ6" t="e">
        <f>AND(Data!Q27,"AAAAAF937KU=")</f>
        <v>#VALUE!</v>
      </c>
      <c r="FK6" t="e">
        <f>AND(Data!#REF!,"AAAAAF937KY=")</f>
        <v>#REF!</v>
      </c>
      <c r="FL6" t="e">
        <f>AND(Data!#REF!,"AAAAAF937Kc=")</f>
        <v>#REF!</v>
      </c>
      <c r="FM6" t="e">
        <f>AND(Data!#REF!,"AAAAAF937Kg=")</f>
        <v>#REF!</v>
      </c>
      <c r="FN6" t="e">
        <f>AND(Data!#REF!,"AAAAAF937Kk=")</f>
        <v>#REF!</v>
      </c>
      <c r="FO6" t="e">
        <f>AND(Data!#REF!,"AAAAAF937Ko=")</f>
        <v>#REF!</v>
      </c>
      <c r="FP6" t="e">
        <f>AND(Data!#REF!,"AAAAAF937Ks=")</f>
        <v>#REF!</v>
      </c>
      <c r="FQ6" t="e">
        <f>AND(Data!#REF!,"AAAAAF937Kw=")</f>
        <v>#REF!</v>
      </c>
      <c r="FR6" t="e">
        <f>AND(Data!#REF!,"AAAAAF937K0=")</f>
        <v>#REF!</v>
      </c>
      <c r="FS6" t="e">
        <f>AND(Data!#REF!,"AAAAAF937K4=")</f>
        <v>#REF!</v>
      </c>
      <c r="FT6" t="e">
        <f>AND(Data!#REF!,"AAAAAF937K8=")</f>
        <v>#REF!</v>
      </c>
      <c r="FU6">
        <f>IF(Data!28:28,"AAAAAF937LA=",0)</f>
        <v>0</v>
      </c>
      <c r="FV6" t="e">
        <f>AND(Data!A28,"AAAAAF937LE=")</f>
        <v>#VALUE!</v>
      </c>
      <c r="FW6" t="e">
        <f>AND(Data!B28,"AAAAAF937LI=")</f>
        <v>#VALUE!</v>
      </c>
      <c r="FX6" t="e">
        <f>AND(Data!C28,"AAAAAF937LM=")</f>
        <v>#VALUE!</v>
      </c>
      <c r="FY6" t="e">
        <f>AND(Data!D28,"AAAAAF937LQ=")</f>
        <v>#VALUE!</v>
      </c>
      <c r="FZ6" t="e">
        <f>AND(Data!E28,"AAAAAF937LU=")</f>
        <v>#VALUE!</v>
      </c>
      <c r="GA6" t="e">
        <f>AND(Data!F28,"AAAAAF937LY=")</f>
        <v>#VALUE!</v>
      </c>
      <c r="GB6" t="e">
        <f>AND(Data!G28,"AAAAAF937Lc=")</f>
        <v>#VALUE!</v>
      </c>
      <c r="GC6" t="e">
        <f>AND(Data!H28,"AAAAAF937Lg=")</f>
        <v>#VALUE!</v>
      </c>
      <c r="GD6" t="e">
        <f>AND(Data!I28,"AAAAAF937Lk=")</f>
        <v>#VALUE!</v>
      </c>
      <c r="GE6" t="e">
        <f>AND(Data!J28,"AAAAAF937Lo=")</f>
        <v>#VALUE!</v>
      </c>
      <c r="GF6" t="e">
        <f>AND(Data!K28,"AAAAAF937Ls=")</f>
        <v>#VALUE!</v>
      </c>
      <c r="GG6" t="e">
        <f>AND(Data!L28,"AAAAAF937Lw=")</f>
        <v>#VALUE!</v>
      </c>
      <c r="GH6" t="e">
        <f>AND(Data!M28,"AAAAAF937L0=")</f>
        <v>#VALUE!</v>
      </c>
      <c r="GI6" t="e">
        <f>AND(Data!N28,"AAAAAF937L4=")</f>
        <v>#VALUE!</v>
      </c>
      <c r="GJ6" t="e">
        <f>AND(Data!O28,"AAAAAF937L8=")</f>
        <v>#VALUE!</v>
      </c>
      <c r="GK6" t="e">
        <f>AND(Data!P28,"AAAAAF937MA=")</f>
        <v>#VALUE!</v>
      </c>
      <c r="GL6" t="e">
        <f>AND(Data!Q28,"AAAAAF937ME=")</f>
        <v>#VALUE!</v>
      </c>
      <c r="GM6" t="e">
        <f>AND(Data!#REF!,"AAAAAF937MI=")</f>
        <v>#REF!</v>
      </c>
      <c r="GN6" t="e">
        <f>AND(Data!#REF!,"AAAAAF937MM=")</f>
        <v>#REF!</v>
      </c>
      <c r="GO6" t="e">
        <f>AND(Data!#REF!,"AAAAAF937MQ=")</f>
        <v>#REF!</v>
      </c>
      <c r="GP6" t="e">
        <f>AND(Data!#REF!,"AAAAAF937MU=")</f>
        <v>#REF!</v>
      </c>
      <c r="GQ6" t="e">
        <f>AND(Data!#REF!,"AAAAAF937MY=")</f>
        <v>#REF!</v>
      </c>
      <c r="GR6" t="e">
        <f>AND(Data!#REF!,"AAAAAF937Mc=")</f>
        <v>#REF!</v>
      </c>
      <c r="GS6" t="e">
        <f>AND(Data!#REF!,"AAAAAF937Mg=")</f>
        <v>#REF!</v>
      </c>
      <c r="GT6" t="e">
        <f>AND(Data!#REF!,"AAAAAF937Mk=")</f>
        <v>#REF!</v>
      </c>
      <c r="GU6" t="e">
        <f>AND(Data!#REF!,"AAAAAF937Mo=")</f>
        <v>#REF!</v>
      </c>
      <c r="GV6" t="e">
        <f>AND(Data!#REF!,"AAAAAF937Ms=")</f>
        <v>#REF!</v>
      </c>
      <c r="GW6">
        <f>IF(Data!29:29,"AAAAAF937Mw=",0)</f>
        <v>0</v>
      </c>
      <c r="GX6" t="e">
        <f>AND(Data!A29,"AAAAAF937M0=")</f>
        <v>#VALUE!</v>
      </c>
      <c r="GY6" t="e">
        <f>AND(Data!B29,"AAAAAF937M4=")</f>
        <v>#VALUE!</v>
      </c>
      <c r="GZ6" t="e">
        <f>AND(Data!C29,"AAAAAF937M8=")</f>
        <v>#VALUE!</v>
      </c>
      <c r="HA6" t="e">
        <f>AND(Data!D29,"AAAAAF937NA=")</f>
        <v>#VALUE!</v>
      </c>
      <c r="HB6" t="e">
        <f>AND(Data!E29,"AAAAAF937NE=")</f>
        <v>#VALUE!</v>
      </c>
      <c r="HC6" t="e">
        <f>AND(Data!F29,"AAAAAF937NI=")</f>
        <v>#VALUE!</v>
      </c>
      <c r="HD6" t="e">
        <f>AND(Data!G29,"AAAAAF937NM=")</f>
        <v>#VALUE!</v>
      </c>
      <c r="HE6" t="e">
        <f>AND(Data!H29,"AAAAAF937NQ=")</f>
        <v>#VALUE!</v>
      </c>
      <c r="HF6" t="e">
        <f>AND(Data!I29,"AAAAAF937NU=")</f>
        <v>#VALUE!</v>
      </c>
      <c r="HG6" t="e">
        <f>AND(Data!J29,"AAAAAF937NY=")</f>
        <v>#VALUE!</v>
      </c>
      <c r="HH6" t="e">
        <f>AND(Data!K29,"AAAAAF937Nc=")</f>
        <v>#VALUE!</v>
      </c>
      <c r="HI6" t="e">
        <f>AND(Data!L29,"AAAAAF937Ng=")</f>
        <v>#VALUE!</v>
      </c>
      <c r="HJ6" t="e">
        <f>AND(Data!M29,"AAAAAF937Nk=")</f>
        <v>#VALUE!</v>
      </c>
      <c r="HK6" t="e">
        <f>AND(Data!N29,"AAAAAF937No=")</f>
        <v>#VALUE!</v>
      </c>
      <c r="HL6" t="e">
        <f>AND(Data!O29,"AAAAAF937Ns=")</f>
        <v>#VALUE!</v>
      </c>
      <c r="HM6" t="e">
        <f>AND(Data!P29,"AAAAAF937Nw=")</f>
        <v>#VALUE!</v>
      </c>
      <c r="HN6" t="e">
        <f>AND(Data!Q29,"AAAAAF937N0=")</f>
        <v>#VALUE!</v>
      </c>
      <c r="HO6" t="e">
        <f>AND(Data!#REF!,"AAAAAF937N4=")</f>
        <v>#REF!</v>
      </c>
      <c r="HP6" t="e">
        <f>AND(Data!#REF!,"AAAAAF937N8=")</f>
        <v>#REF!</v>
      </c>
      <c r="HQ6" t="e">
        <f>AND(Data!#REF!,"AAAAAF937OA=")</f>
        <v>#REF!</v>
      </c>
      <c r="HR6" t="e">
        <f>AND(Data!#REF!,"AAAAAF937OE=")</f>
        <v>#REF!</v>
      </c>
      <c r="HS6" t="e">
        <f>AND(Data!#REF!,"AAAAAF937OI=")</f>
        <v>#REF!</v>
      </c>
      <c r="HT6" t="e">
        <f>AND(Data!#REF!,"AAAAAF937OM=")</f>
        <v>#REF!</v>
      </c>
      <c r="HU6" t="e">
        <f>AND(Data!#REF!,"AAAAAF937OQ=")</f>
        <v>#REF!</v>
      </c>
      <c r="HV6" t="e">
        <f>AND(Data!#REF!,"AAAAAF937OU=")</f>
        <v>#REF!</v>
      </c>
      <c r="HW6" t="e">
        <f>AND(Data!#REF!,"AAAAAF937OY=")</f>
        <v>#REF!</v>
      </c>
      <c r="HX6" t="e">
        <f>AND(Data!#REF!,"AAAAAF937Oc=")</f>
        <v>#REF!</v>
      </c>
      <c r="HY6">
        <f>IF(Data!30:30,"AAAAAF937Og=",0)</f>
        <v>0</v>
      </c>
      <c r="HZ6" t="e">
        <f>AND(Data!A30,"AAAAAF937Ok=")</f>
        <v>#VALUE!</v>
      </c>
      <c r="IA6" t="e">
        <f>AND(Data!B30,"AAAAAF937Oo=")</f>
        <v>#VALUE!</v>
      </c>
      <c r="IB6" t="e">
        <f>AND(Data!C30,"AAAAAF937Os=")</f>
        <v>#VALUE!</v>
      </c>
      <c r="IC6" t="e">
        <f>AND(Data!D30,"AAAAAF937Ow=")</f>
        <v>#VALUE!</v>
      </c>
      <c r="ID6" t="e">
        <f>AND(Data!E30,"AAAAAF937O0=")</f>
        <v>#VALUE!</v>
      </c>
      <c r="IE6" t="e">
        <f>AND(Data!F30,"AAAAAF937O4=")</f>
        <v>#VALUE!</v>
      </c>
      <c r="IF6" t="e">
        <f>AND(Data!G30,"AAAAAF937O8=")</f>
        <v>#VALUE!</v>
      </c>
      <c r="IG6" t="e">
        <f>AND(Data!H30,"AAAAAF937PA=")</f>
        <v>#VALUE!</v>
      </c>
      <c r="IH6" t="e">
        <f>AND(Data!I30,"AAAAAF937PE=")</f>
        <v>#VALUE!</v>
      </c>
      <c r="II6" t="e">
        <f>AND(Data!J30,"AAAAAF937PI=")</f>
        <v>#VALUE!</v>
      </c>
      <c r="IJ6" t="e">
        <f>AND(Data!K30,"AAAAAF937PM=")</f>
        <v>#VALUE!</v>
      </c>
      <c r="IK6" t="e">
        <f>AND(Data!L30,"AAAAAF937PQ=")</f>
        <v>#VALUE!</v>
      </c>
      <c r="IL6" t="e">
        <f>AND(Data!M30,"AAAAAF937PU=")</f>
        <v>#VALUE!</v>
      </c>
      <c r="IM6" t="e">
        <f>AND(Data!N30,"AAAAAF937PY=")</f>
        <v>#VALUE!</v>
      </c>
      <c r="IN6" t="e">
        <f>AND(Data!O30,"AAAAAF937Pc=")</f>
        <v>#VALUE!</v>
      </c>
      <c r="IO6" t="e">
        <f>AND(Data!P30,"AAAAAF937Pg=")</f>
        <v>#VALUE!</v>
      </c>
      <c r="IP6" t="e">
        <f>AND(Data!Q30,"AAAAAF937Pk=")</f>
        <v>#VALUE!</v>
      </c>
      <c r="IQ6" t="e">
        <f>AND(Data!#REF!,"AAAAAF937Po=")</f>
        <v>#REF!</v>
      </c>
      <c r="IR6" t="e">
        <f>AND(Data!#REF!,"AAAAAF937Ps=")</f>
        <v>#REF!</v>
      </c>
      <c r="IS6" t="e">
        <f>AND(Data!#REF!,"AAAAAF937Pw=")</f>
        <v>#REF!</v>
      </c>
      <c r="IT6" t="e">
        <f>AND(Data!#REF!,"AAAAAF937P0=")</f>
        <v>#REF!</v>
      </c>
      <c r="IU6" t="e">
        <f>AND(Data!#REF!,"AAAAAF937P4=")</f>
        <v>#REF!</v>
      </c>
      <c r="IV6" t="e">
        <f>AND(Data!#REF!,"AAAAAF937P8=")</f>
        <v>#REF!</v>
      </c>
    </row>
    <row r="7" spans="1:256">
      <c r="A7" t="e">
        <f>AND(Data!#REF!,"AAAAAH/fxwA=")</f>
        <v>#REF!</v>
      </c>
      <c r="B7" t="e">
        <f>AND(Data!#REF!,"AAAAAH/fxwE=")</f>
        <v>#REF!</v>
      </c>
      <c r="C7" t="e">
        <f>AND(Data!#REF!,"AAAAAH/fxwI=")</f>
        <v>#REF!</v>
      </c>
      <c r="D7" t="e">
        <f>AND(Data!#REF!,"AAAAAH/fxwM=")</f>
        <v>#REF!</v>
      </c>
      <c r="E7">
        <f>IF(Data!31:31,"AAAAAH/fxwQ=",0)</f>
        <v>0</v>
      </c>
      <c r="F7" t="e">
        <f>AND(Data!A31,"AAAAAH/fxwU=")</f>
        <v>#VALUE!</v>
      </c>
      <c r="G7" t="e">
        <f>AND(Data!B31,"AAAAAH/fxwY=")</f>
        <v>#VALUE!</v>
      </c>
      <c r="H7" t="e">
        <f>AND(Data!C31,"AAAAAH/fxwc=")</f>
        <v>#VALUE!</v>
      </c>
      <c r="I7" t="e">
        <f>AND(Data!D31,"AAAAAH/fxwg=")</f>
        <v>#VALUE!</v>
      </c>
      <c r="J7" t="e">
        <f>AND(Data!E31,"AAAAAH/fxwk=")</f>
        <v>#VALUE!</v>
      </c>
      <c r="K7" t="e">
        <f>AND(Data!F31,"AAAAAH/fxwo=")</f>
        <v>#VALUE!</v>
      </c>
      <c r="L7" t="e">
        <f>AND(Data!G31,"AAAAAH/fxws=")</f>
        <v>#VALUE!</v>
      </c>
      <c r="M7" t="e">
        <f>AND(Data!H31,"AAAAAH/fxww=")</f>
        <v>#VALUE!</v>
      </c>
      <c r="N7" t="e">
        <f>AND(Data!I31,"AAAAAH/fxw0=")</f>
        <v>#VALUE!</v>
      </c>
      <c r="O7" t="e">
        <f>AND(Data!J31,"AAAAAH/fxw4=")</f>
        <v>#VALUE!</v>
      </c>
      <c r="P7" t="e">
        <f>AND(Data!K31,"AAAAAH/fxw8=")</f>
        <v>#VALUE!</v>
      </c>
      <c r="Q7" t="e">
        <f>AND(Data!L31,"AAAAAH/fxxA=")</f>
        <v>#VALUE!</v>
      </c>
      <c r="R7" t="e">
        <f>AND(Data!M31,"AAAAAH/fxxE=")</f>
        <v>#VALUE!</v>
      </c>
      <c r="S7" t="e">
        <f>AND(Data!N31,"AAAAAH/fxxI=")</f>
        <v>#VALUE!</v>
      </c>
      <c r="T7" t="e">
        <f>AND(Data!O31,"AAAAAH/fxxM=")</f>
        <v>#VALUE!</v>
      </c>
      <c r="U7" t="e">
        <f>AND(Data!P31,"AAAAAH/fxxQ=")</f>
        <v>#VALUE!</v>
      </c>
      <c r="V7" t="e">
        <f>AND(Data!Q31,"AAAAAH/fxxU=")</f>
        <v>#VALUE!</v>
      </c>
      <c r="W7" t="e">
        <f>AND(Data!#REF!,"AAAAAH/fxxY=")</f>
        <v>#REF!</v>
      </c>
      <c r="X7" t="e">
        <f>AND(Data!#REF!,"AAAAAH/fxxc=")</f>
        <v>#REF!</v>
      </c>
      <c r="Y7" t="e">
        <f>AND(Data!#REF!,"AAAAAH/fxxg=")</f>
        <v>#REF!</v>
      </c>
      <c r="Z7" t="e">
        <f>AND(Data!#REF!,"AAAAAH/fxxk=")</f>
        <v>#REF!</v>
      </c>
      <c r="AA7" t="e">
        <f>AND(Data!#REF!,"AAAAAH/fxxo=")</f>
        <v>#REF!</v>
      </c>
      <c r="AB7" t="e">
        <f>AND(Data!#REF!,"AAAAAH/fxxs=")</f>
        <v>#REF!</v>
      </c>
      <c r="AC7" t="e">
        <f>AND(Data!#REF!,"AAAAAH/fxxw=")</f>
        <v>#REF!</v>
      </c>
      <c r="AD7" t="e">
        <f>AND(Data!#REF!,"AAAAAH/fxx0=")</f>
        <v>#REF!</v>
      </c>
      <c r="AE7" t="e">
        <f>AND(Data!#REF!,"AAAAAH/fxx4=")</f>
        <v>#REF!</v>
      </c>
      <c r="AF7" t="e">
        <f>AND(Data!#REF!,"AAAAAH/fxx8=")</f>
        <v>#REF!</v>
      </c>
      <c r="AG7">
        <f>IF(Data!32:32,"AAAAAH/fxyA=",0)</f>
        <v>0</v>
      </c>
      <c r="AH7" t="e">
        <f>AND(Data!A32,"AAAAAH/fxyE=")</f>
        <v>#VALUE!</v>
      </c>
      <c r="AI7" t="e">
        <f>AND(Data!B32,"AAAAAH/fxyI=")</f>
        <v>#VALUE!</v>
      </c>
      <c r="AJ7" t="e">
        <f>AND(Data!C32,"AAAAAH/fxyM=")</f>
        <v>#VALUE!</v>
      </c>
      <c r="AK7" t="e">
        <f>AND(Data!D32,"AAAAAH/fxyQ=")</f>
        <v>#VALUE!</v>
      </c>
      <c r="AL7" t="e">
        <f>AND(Data!E32,"AAAAAH/fxyU=")</f>
        <v>#VALUE!</v>
      </c>
      <c r="AM7" t="e">
        <f>AND(Data!F32,"AAAAAH/fxyY=")</f>
        <v>#VALUE!</v>
      </c>
      <c r="AN7" t="e">
        <f>AND(Data!G32,"AAAAAH/fxyc=")</f>
        <v>#VALUE!</v>
      </c>
      <c r="AO7" t="e">
        <f>AND(Data!H32,"AAAAAH/fxyg=")</f>
        <v>#VALUE!</v>
      </c>
      <c r="AP7" t="e">
        <f>AND(Data!I32,"AAAAAH/fxyk=")</f>
        <v>#VALUE!</v>
      </c>
      <c r="AQ7" t="e">
        <f>AND(Data!J32,"AAAAAH/fxyo=")</f>
        <v>#VALUE!</v>
      </c>
      <c r="AR7" t="e">
        <f>AND(Data!K32,"AAAAAH/fxys=")</f>
        <v>#VALUE!</v>
      </c>
      <c r="AS7" t="e">
        <f>AND(Data!L32,"AAAAAH/fxyw=")</f>
        <v>#VALUE!</v>
      </c>
      <c r="AT7" t="e">
        <f>AND(Data!M32,"AAAAAH/fxy0=")</f>
        <v>#VALUE!</v>
      </c>
      <c r="AU7" t="e">
        <f>AND(Data!N32,"AAAAAH/fxy4=")</f>
        <v>#VALUE!</v>
      </c>
      <c r="AV7" t="e">
        <f>AND(Data!O32,"AAAAAH/fxy8=")</f>
        <v>#VALUE!</v>
      </c>
      <c r="AW7" t="e">
        <f>AND(Data!P32,"AAAAAH/fxzA=")</f>
        <v>#VALUE!</v>
      </c>
      <c r="AX7" t="e">
        <f>AND(Data!Q32,"AAAAAH/fxzE=")</f>
        <v>#VALUE!</v>
      </c>
      <c r="AY7" t="e">
        <f>AND(Data!#REF!,"AAAAAH/fxzI=")</f>
        <v>#REF!</v>
      </c>
      <c r="AZ7" t="e">
        <f>AND(Data!#REF!,"AAAAAH/fxzM=")</f>
        <v>#REF!</v>
      </c>
      <c r="BA7" t="e">
        <f>AND(Data!#REF!,"AAAAAH/fxzQ=")</f>
        <v>#REF!</v>
      </c>
      <c r="BB7" t="e">
        <f>AND(Data!#REF!,"AAAAAH/fxzU=")</f>
        <v>#REF!</v>
      </c>
      <c r="BC7" t="e">
        <f>AND(Data!#REF!,"AAAAAH/fxzY=")</f>
        <v>#REF!</v>
      </c>
      <c r="BD7" t="e">
        <f>AND(Data!#REF!,"AAAAAH/fxzc=")</f>
        <v>#REF!</v>
      </c>
      <c r="BE7" t="e">
        <f>AND(Data!#REF!,"AAAAAH/fxzg=")</f>
        <v>#REF!</v>
      </c>
      <c r="BF7" t="e">
        <f>AND(Data!#REF!,"AAAAAH/fxzk=")</f>
        <v>#REF!</v>
      </c>
      <c r="BG7" t="e">
        <f>AND(Data!#REF!,"AAAAAH/fxzo=")</f>
        <v>#REF!</v>
      </c>
      <c r="BH7" t="e">
        <f>AND(Data!#REF!,"AAAAAH/fxzs=")</f>
        <v>#REF!</v>
      </c>
      <c r="BI7">
        <f>IF(Data!33:33,"AAAAAH/fxzw=",0)</f>
        <v>0</v>
      </c>
      <c r="BJ7" t="e">
        <f>AND(Data!A33,"AAAAAH/fxz0=")</f>
        <v>#VALUE!</v>
      </c>
      <c r="BK7" t="e">
        <f>AND(Data!B33,"AAAAAH/fxz4=")</f>
        <v>#VALUE!</v>
      </c>
      <c r="BL7" t="e">
        <f>AND(Data!C33,"AAAAAH/fxz8=")</f>
        <v>#VALUE!</v>
      </c>
      <c r="BM7" t="e">
        <f>AND(Data!D33,"AAAAAH/fx0A=")</f>
        <v>#VALUE!</v>
      </c>
      <c r="BN7" t="e">
        <f>AND(Data!E33,"AAAAAH/fx0E=")</f>
        <v>#VALUE!</v>
      </c>
      <c r="BO7" t="e">
        <f>AND(Data!F33,"AAAAAH/fx0I=")</f>
        <v>#VALUE!</v>
      </c>
      <c r="BP7" t="e">
        <f>AND(Data!G33,"AAAAAH/fx0M=")</f>
        <v>#VALUE!</v>
      </c>
      <c r="BQ7" t="e">
        <f>AND(Data!H33,"AAAAAH/fx0Q=")</f>
        <v>#VALUE!</v>
      </c>
      <c r="BR7" t="e">
        <f>AND(Data!I33,"AAAAAH/fx0U=")</f>
        <v>#VALUE!</v>
      </c>
      <c r="BS7" t="e">
        <f>AND(Data!J33,"AAAAAH/fx0Y=")</f>
        <v>#VALUE!</v>
      </c>
      <c r="BT7" t="e">
        <f>AND(Data!K33,"AAAAAH/fx0c=")</f>
        <v>#VALUE!</v>
      </c>
      <c r="BU7" t="e">
        <f>AND(Data!L33,"AAAAAH/fx0g=")</f>
        <v>#VALUE!</v>
      </c>
      <c r="BV7" t="e">
        <f>AND(Data!M33,"AAAAAH/fx0k=")</f>
        <v>#VALUE!</v>
      </c>
      <c r="BW7" t="e">
        <f>AND(Data!N33,"AAAAAH/fx0o=")</f>
        <v>#VALUE!</v>
      </c>
      <c r="BX7" t="e">
        <f>AND(Data!O33,"AAAAAH/fx0s=")</f>
        <v>#VALUE!</v>
      </c>
      <c r="BY7" t="e">
        <f>AND(Data!P33,"AAAAAH/fx0w=")</f>
        <v>#VALUE!</v>
      </c>
      <c r="BZ7" t="e">
        <f>AND(Data!Q33,"AAAAAH/fx00=")</f>
        <v>#VALUE!</v>
      </c>
      <c r="CA7" t="e">
        <f>AND(Data!#REF!,"AAAAAH/fx04=")</f>
        <v>#REF!</v>
      </c>
      <c r="CB7" t="e">
        <f>AND(Data!#REF!,"AAAAAH/fx08=")</f>
        <v>#REF!</v>
      </c>
      <c r="CC7" t="e">
        <f>AND(Data!#REF!,"AAAAAH/fx1A=")</f>
        <v>#REF!</v>
      </c>
      <c r="CD7" t="e">
        <f>AND(Data!#REF!,"AAAAAH/fx1E=")</f>
        <v>#REF!</v>
      </c>
      <c r="CE7" t="e">
        <f>AND(Data!#REF!,"AAAAAH/fx1I=")</f>
        <v>#REF!</v>
      </c>
      <c r="CF7" t="e">
        <f>AND(Data!#REF!,"AAAAAH/fx1M=")</f>
        <v>#REF!</v>
      </c>
      <c r="CG7" t="e">
        <f>AND(Data!#REF!,"AAAAAH/fx1Q=")</f>
        <v>#REF!</v>
      </c>
      <c r="CH7" t="e">
        <f>AND(Data!#REF!,"AAAAAH/fx1U=")</f>
        <v>#REF!</v>
      </c>
      <c r="CI7" t="e">
        <f>AND(Data!#REF!,"AAAAAH/fx1Y=")</f>
        <v>#REF!</v>
      </c>
      <c r="CJ7" t="e">
        <f>AND(Data!#REF!,"AAAAAH/fx1c=")</f>
        <v>#REF!</v>
      </c>
      <c r="CK7">
        <f>IF(Data!34:34,"AAAAAH/fx1g=",0)</f>
        <v>0</v>
      </c>
      <c r="CL7" t="e">
        <f>AND(Data!A34,"AAAAAH/fx1k=")</f>
        <v>#VALUE!</v>
      </c>
      <c r="CM7" t="e">
        <f>AND(Data!B34,"AAAAAH/fx1o=")</f>
        <v>#VALUE!</v>
      </c>
      <c r="CN7" t="e">
        <f>AND(Data!C34,"AAAAAH/fx1s=")</f>
        <v>#VALUE!</v>
      </c>
      <c r="CO7" t="e">
        <f>AND(Data!D34,"AAAAAH/fx1w=")</f>
        <v>#VALUE!</v>
      </c>
      <c r="CP7" t="e">
        <f>AND(Data!E34,"AAAAAH/fx10=")</f>
        <v>#VALUE!</v>
      </c>
      <c r="CQ7" t="e">
        <f>AND(Data!F34,"AAAAAH/fx14=")</f>
        <v>#VALUE!</v>
      </c>
      <c r="CR7" t="e">
        <f>AND(Data!G34,"AAAAAH/fx18=")</f>
        <v>#VALUE!</v>
      </c>
      <c r="CS7" t="e">
        <f>AND(Data!H34,"AAAAAH/fx2A=")</f>
        <v>#VALUE!</v>
      </c>
      <c r="CT7" t="e">
        <f>AND(Data!I34,"AAAAAH/fx2E=")</f>
        <v>#VALUE!</v>
      </c>
      <c r="CU7" t="e">
        <f>AND(Data!J34,"AAAAAH/fx2I=")</f>
        <v>#VALUE!</v>
      </c>
      <c r="CV7" t="e">
        <f>AND(Data!K34,"AAAAAH/fx2M=")</f>
        <v>#VALUE!</v>
      </c>
      <c r="CW7" t="e">
        <f>AND(Data!L34,"AAAAAH/fx2Q=")</f>
        <v>#VALUE!</v>
      </c>
      <c r="CX7" t="e">
        <f>AND(Data!M34,"AAAAAH/fx2U=")</f>
        <v>#VALUE!</v>
      </c>
      <c r="CY7" t="e">
        <f>AND(Data!N34,"AAAAAH/fx2Y=")</f>
        <v>#VALUE!</v>
      </c>
      <c r="CZ7" t="e">
        <f>AND(Data!O34,"AAAAAH/fx2c=")</f>
        <v>#VALUE!</v>
      </c>
      <c r="DA7" t="e">
        <f>AND(Data!P34,"AAAAAH/fx2g=")</f>
        <v>#VALUE!</v>
      </c>
      <c r="DB7" t="e">
        <f>AND(Data!Q34,"AAAAAH/fx2k=")</f>
        <v>#VALUE!</v>
      </c>
      <c r="DC7" t="e">
        <f>AND(Data!#REF!,"AAAAAH/fx2o=")</f>
        <v>#REF!</v>
      </c>
      <c r="DD7" t="e">
        <f>AND(Data!#REF!,"AAAAAH/fx2s=")</f>
        <v>#REF!</v>
      </c>
      <c r="DE7" t="e">
        <f>AND(Data!#REF!,"AAAAAH/fx2w=")</f>
        <v>#REF!</v>
      </c>
      <c r="DF7" t="e">
        <f>AND(Data!#REF!,"AAAAAH/fx20=")</f>
        <v>#REF!</v>
      </c>
      <c r="DG7" t="e">
        <f>AND(Data!#REF!,"AAAAAH/fx24=")</f>
        <v>#REF!</v>
      </c>
      <c r="DH7" t="e">
        <f>AND(Data!#REF!,"AAAAAH/fx28=")</f>
        <v>#REF!</v>
      </c>
      <c r="DI7" t="e">
        <f>AND(Data!#REF!,"AAAAAH/fx3A=")</f>
        <v>#REF!</v>
      </c>
      <c r="DJ7" t="e">
        <f>AND(Data!#REF!,"AAAAAH/fx3E=")</f>
        <v>#REF!</v>
      </c>
      <c r="DK7" t="e">
        <f>AND(Data!#REF!,"AAAAAH/fx3I=")</f>
        <v>#REF!</v>
      </c>
      <c r="DL7" t="e">
        <f>AND(Data!#REF!,"AAAAAH/fx3M=")</f>
        <v>#REF!</v>
      </c>
      <c r="DM7">
        <f>IF(Data!35:35,"AAAAAH/fx3Q=",0)</f>
        <v>0</v>
      </c>
      <c r="DN7" t="e">
        <f>AND(Data!A35,"AAAAAH/fx3U=")</f>
        <v>#VALUE!</v>
      </c>
      <c r="DO7" t="e">
        <f>AND(Data!B35,"AAAAAH/fx3Y=")</f>
        <v>#VALUE!</v>
      </c>
      <c r="DP7" t="e">
        <f>AND(Data!C35,"AAAAAH/fx3c=")</f>
        <v>#VALUE!</v>
      </c>
      <c r="DQ7" t="e">
        <f>AND(Data!D35,"AAAAAH/fx3g=")</f>
        <v>#VALUE!</v>
      </c>
      <c r="DR7" t="e">
        <f>AND(Data!E35,"AAAAAH/fx3k=")</f>
        <v>#VALUE!</v>
      </c>
      <c r="DS7" t="e">
        <f>AND(Data!F35,"AAAAAH/fx3o=")</f>
        <v>#VALUE!</v>
      </c>
      <c r="DT7" t="e">
        <f>AND(Data!G35,"AAAAAH/fx3s=")</f>
        <v>#VALUE!</v>
      </c>
      <c r="DU7" t="e">
        <f>AND(Data!H35,"AAAAAH/fx3w=")</f>
        <v>#VALUE!</v>
      </c>
      <c r="DV7" t="e">
        <f>AND(Data!I35,"AAAAAH/fx30=")</f>
        <v>#VALUE!</v>
      </c>
      <c r="DW7" t="e">
        <f>AND(Data!J35,"AAAAAH/fx34=")</f>
        <v>#VALUE!</v>
      </c>
      <c r="DX7" t="e">
        <f>AND(Data!K35,"AAAAAH/fx38=")</f>
        <v>#VALUE!</v>
      </c>
      <c r="DY7" t="e">
        <f>AND(Data!L35,"AAAAAH/fx4A=")</f>
        <v>#VALUE!</v>
      </c>
      <c r="DZ7" t="e">
        <f>AND(Data!M35,"AAAAAH/fx4E=")</f>
        <v>#VALUE!</v>
      </c>
      <c r="EA7" t="e">
        <f>AND(Data!N35,"AAAAAH/fx4I=")</f>
        <v>#VALUE!</v>
      </c>
      <c r="EB7" t="e">
        <f>AND(Data!O35,"AAAAAH/fx4M=")</f>
        <v>#VALUE!</v>
      </c>
      <c r="EC7" t="e">
        <f>AND(Data!P35,"AAAAAH/fx4Q=")</f>
        <v>#VALUE!</v>
      </c>
      <c r="ED7" t="e">
        <f>AND(Data!Q35,"AAAAAH/fx4U=")</f>
        <v>#VALUE!</v>
      </c>
      <c r="EE7" t="e">
        <f>AND(Data!#REF!,"AAAAAH/fx4Y=")</f>
        <v>#REF!</v>
      </c>
      <c r="EF7" t="e">
        <f>AND(Data!#REF!,"AAAAAH/fx4c=")</f>
        <v>#REF!</v>
      </c>
      <c r="EG7" t="e">
        <f>AND(Data!#REF!,"AAAAAH/fx4g=")</f>
        <v>#REF!</v>
      </c>
      <c r="EH7" t="e">
        <f>AND(Data!#REF!,"AAAAAH/fx4k=")</f>
        <v>#REF!</v>
      </c>
      <c r="EI7" t="e">
        <f>AND(Data!#REF!,"AAAAAH/fx4o=")</f>
        <v>#REF!</v>
      </c>
      <c r="EJ7" t="e">
        <f>AND(Data!#REF!,"AAAAAH/fx4s=")</f>
        <v>#REF!</v>
      </c>
      <c r="EK7" t="e">
        <f>AND(Data!#REF!,"AAAAAH/fx4w=")</f>
        <v>#REF!</v>
      </c>
      <c r="EL7" t="e">
        <f>AND(Data!#REF!,"AAAAAH/fx40=")</f>
        <v>#REF!</v>
      </c>
      <c r="EM7" t="e">
        <f>AND(Data!#REF!,"AAAAAH/fx44=")</f>
        <v>#REF!</v>
      </c>
      <c r="EN7" t="e">
        <f>AND(Data!#REF!,"AAAAAH/fx48=")</f>
        <v>#REF!</v>
      </c>
      <c r="EO7">
        <f>IF(Data!36:36,"AAAAAH/fx5A=",0)</f>
        <v>0</v>
      </c>
      <c r="EP7" t="e">
        <f>AND(Data!A36,"AAAAAH/fx5E=")</f>
        <v>#VALUE!</v>
      </c>
      <c r="EQ7" t="e">
        <f>AND(Data!B36,"AAAAAH/fx5I=")</f>
        <v>#VALUE!</v>
      </c>
      <c r="ER7" t="e">
        <f>AND(Data!C36,"AAAAAH/fx5M=")</f>
        <v>#VALUE!</v>
      </c>
      <c r="ES7" t="e">
        <f>AND(Data!D36,"AAAAAH/fx5Q=")</f>
        <v>#VALUE!</v>
      </c>
      <c r="ET7" t="e">
        <f>AND(Data!E36,"AAAAAH/fx5U=")</f>
        <v>#VALUE!</v>
      </c>
      <c r="EU7" t="e">
        <f>AND(Data!F36,"AAAAAH/fx5Y=")</f>
        <v>#VALUE!</v>
      </c>
      <c r="EV7" t="e">
        <f>AND(Data!G36,"AAAAAH/fx5c=")</f>
        <v>#VALUE!</v>
      </c>
      <c r="EW7" t="e">
        <f>AND(Data!H36,"AAAAAH/fx5g=")</f>
        <v>#VALUE!</v>
      </c>
      <c r="EX7" t="e">
        <f>AND(Data!I36,"AAAAAH/fx5k=")</f>
        <v>#VALUE!</v>
      </c>
      <c r="EY7" t="e">
        <f>AND(Data!J36,"AAAAAH/fx5o=")</f>
        <v>#VALUE!</v>
      </c>
      <c r="EZ7" t="e">
        <f>AND(Data!K36,"AAAAAH/fx5s=")</f>
        <v>#VALUE!</v>
      </c>
      <c r="FA7" t="e">
        <f>AND(Data!L36,"AAAAAH/fx5w=")</f>
        <v>#VALUE!</v>
      </c>
      <c r="FB7" t="e">
        <f>AND(Data!M36,"AAAAAH/fx50=")</f>
        <v>#VALUE!</v>
      </c>
      <c r="FC7" t="e">
        <f>AND(Data!N36,"AAAAAH/fx54=")</f>
        <v>#VALUE!</v>
      </c>
      <c r="FD7" t="e">
        <f>AND(Data!O36,"AAAAAH/fx58=")</f>
        <v>#VALUE!</v>
      </c>
      <c r="FE7" t="e">
        <f>AND(Data!P36,"AAAAAH/fx6A=")</f>
        <v>#VALUE!</v>
      </c>
      <c r="FF7" t="e">
        <f>AND(Data!Q36,"AAAAAH/fx6E=")</f>
        <v>#VALUE!</v>
      </c>
      <c r="FG7" t="e">
        <f>AND(Data!#REF!,"AAAAAH/fx6I=")</f>
        <v>#REF!</v>
      </c>
      <c r="FH7" t="e">
        <f>AND(Data!#REF!,"AAAAAH/fx6M=")</f>
        <v>#REF!</v>
      </c>
      <c r="FI7" t="e">
        <f>AND(Data!#REF!,"AAAAAH/fx6Q=")</f>
        <v>#REF!</v>
      </c>
      <c r="FJ7" t="e">
        <f>AND(Data!#REF!,"AAAAAH/fx6U=")</f>
        <v>#REF!</v>
      </c>
      <c r="FK7" t="e">
        <f>AND(Data!#REF!,"AAAAAH/fx6Y=")</f>
        <v>#REF!</v>
      </c>
      <c r="FL7" t="e">
        <f>AND(Data!#REF!,"AAAAAH/fx6c=")</f>
        <v>#REF!</v>
      </c>
      <c r="FM7" t="e">
        <f>AND(Data!#REF!,"AAAAAH/fx6g=")</f>
        <v>#REF!</v>
      </c>
      <c r="FN7" t="e">
        <f>AND(Data!#REF!,"AAAAAH/fx6k=")</f>
        <v>#REF!</v>
      </c>
      <c r="FO7" t="e">
        <f>AND(Data!#REF!,"AAAAAH/fx6o=")</f>
        <v>#REF!</v>
      </c>
      <c r="FP7" t="e">
        <f>AND(Data!#REF!,"AAAAAH/fx6s=")</f>
        <v>#REF!</v>
      </c>
      <c r="FQ7">
        <f>IF(Data!37:37,"AAAAAH/fx6w=",0)</f>
        <v>0</v>
      </c>
      <c r="FR7" t="e">
        <f>AND(Data!A37,"AAAAAH/fx60=")</f>
        <v>#VALUE!</v>
      </c>
      <c r="FS7" t="e">
        <f>AND(Data!B37,"AAAAAH/fx64=")</f>
        <v>#VALUE!</v>
      </c>
      <c r="FT7" t="e">
        <f>AND(Data!C37,"AAAAAH/fx68=")</f>
        <v>#VALUE!</v>
      </c>
      <c r="FU7" t="e">
        <f>AND(Data!D37,"AAAAAH/fx7A=")</f>
        <v>#VALUE!</v>
      </c>
      <c r="FV7" t="e">
        <f>AND(Data!E37,"AAAAAH/fx7E=")</f>
        <v>#VALUE!</v>
      </c>
      <c r="FW7" t="e">
        <f>AND(Data!F37,"AAAAAH/fx7I=")</f>
        <v>#VALUE!</v>
      </c>
      <c r="FX7" t="e">
        <f>AND(Data!G37,"AAAAAH/fx7M=")</f>
        <v>#VALUE!</v>
      </c>
      <c r="FY7" t="e">
        <f>AND(Data!H37,"AAAAAH/fx7Q=")</f>
        <v>#VALUE!</v>
      </c>
      <c r="FZ7" t="e">
        <f>AND(Data!I37,"AAAAAH/fx7U=")</f>
        <v>#VALUE!</v>
      </c>
      <c r="GA7" t="e">
        <f>AND(Data!J37,"AAAAAH/fx7Y=")</f>
        <v>#VALUE!</v>
      </c>
      <c r="GB7" t="e">
        <f>AND(Data!K37,"AAAAAH/fx7c=")</f>
        <v>#VALUE!</v>
      </c>
      <c r="GC7" t="e">
        <f>AND(Data!L37,"AAAAAH/fx7g=")</f>
        <v>#VALUE!</v>
      </c>
      <c r="GD7" t="e">
        <f>AND(Data!M37,"AAAAAH/fx7k=")</f>
        <v>#VALUE!</v>
      </c>
      <c r="GE7" t="e">
        <f>AND(Data!N37,"AAAAAH/fx7o=")</f>
        <v>#VALUE!</v>
      </c>
      <c r="GF7" t="e">
        <f>AND(Data!O37,"AAAAAH/fx7s=")</f>
        <v>#VALUE!</v>
      </c>
      <c r="GG7" t="e">
        <f>AND(Data!P37,"AAAAAH/fx7w=")</f>
        <v>#VALUE!</v>
      </c>
      <c r="GH7" t="e">
        <f>AND(Data!Q37,"AAAAAH/fx70=")</f>
        <v>#VALUE!</v>
      </c>
      <c r="GI7" t="e">
        <f>AND(Data!#REF!,"AAAAAH/fx74=")</f>
        <v>#REF!</v>
      </c>
      <c r="GJ7" t="e">
        <f>AND(Data!#REF!,"AAAAAH/fx78=")</f>
        <v>#REF!</v>
      </c>
      <c r="GK7" t="e">
        <f>AND(Data!#REF!,"AAAAAH/fx8A=")</f>
        <v>#REF!</v>
      </c>
      <c r="GL7" t="e">
        <f>AND(Data!#REF!,"AAAAAH/fx8E=")</f>
        <v>#REF!</v>
      </c>
      <c r="GM7" t="e">
        <f>AND(Data!#REF!,"AAAAAH/fx8I=")</f>
        <v>#REF!</v>
      </c>
      <c r="GN7" t="e">
        <f>AND(Data!#REF!,"AAAAAH/fx8M=")</f>
        <v>#REF!</v>
      </c>
      <c r="GO7" t="e">
        <f>AND(Data!#REF!,"AAAAAH/fx8Q=")</f>
        <v>#REF!</v>
      </c>
      <c r="GP7" t="e">
        <f>AND(Data!#REF!,"AAAAAH/fx8U=")</f>
        <v>#REF!</v>
      </c>
      <c r="GQ7" t="e">
        <f>AND(Data!#REF!,"AAAAAH/fx8Y=")</f>
        <v>#REF!</v>
      </c>
      <c r="GR7" t="e">
        <f>AND(Data!#REF!,"AAAAAH/fx8c=")</f>
        <v>#REF!</v>
      </c>
      <c r="GS7">
        <f>IF(Data!38:38,"AAAAAH/fx8g=",0)</f>
        <v>0</v>
      </c>
      <c r="GT7" t="e">
        <f>AND(Data!A38,"AAAAAH/fx8k=")</f>
        <v>#VALUE!</v>
      </c>
      <c r="GU7" t="e">
        <f>AND(Data!B38,"AAAAAH/fx8o=")</f>
        <v>#VALUE!</v>
      </c>
      <c r="GV7" t="e">
        <f>AND(Data!C38,"AAAAAH/fx8s=")</f>
        <v>#VALUE!</v>
      </c>
      <c r="GW7" t="e">
        <f>AND(Data!D38,"AAAAAH/fx8w=")</f>
        <v>#VALUE!</v>
      </c>
      <c r="GX7" t="e">
        <f>AND(Data!E38,"AAAAAH/fx80=")</f>
        <v>#VALUE!</v>
      </c>
      <c r="GY7" t="e">
        <f>AND(Data!F38,"AAAAAH/fx84=")</f>
        <v>#VALUE!</v>
      </c>
      <c r="GZ7" t="e">
        <f>AND(Data!G38,"AAAAAH/fx88=")</f>
        <v>#VALUE!</v>
      </c>
      <c r="HA7" t="e">
        <f>AND(Data!H38,"AAAAAH/fx9A=")</f>
        <v>#VALUE!</v>
      </c>
      <c r="HB7" t="e">
        <f>AND(Data!I38,"AAAAAH/fx9E=")</f>
        <v>#VALUE!</v>
      </c>
      <c r="HC7" t="e">
        <f>AND(Data!J38,"AAAAAH/fx9I=")</f>
        <v>#VALUE!</v>
      </c>
      <c r="HD7" t="e">
        <f>AND(Data!K38,"AAAAAH/fx9M=")</f>
        <v>#VALUE!</v>
      </c>
      <c r="HE7" t="e">
        <f>AND(Data!L38,"AAAAAH/fx9Q=")</f>
        <v>#VALUE!</v>
      </c>
      <c r="HF7" t="e">
        <f>AND(Data!M38,"AAAAAH/fx9U=")</f>
        <v>#VALUE!</v>
      </c>
      <c r="HG7" t="e">
        <f>AND(Data!N38,"AAAAAH/fx9Y=")</f>
        <v>#VALUE!</v>
      </c>
      <c r="HH7" t="e">
        <f>AND(Data!O38,"AAAAAH/fx9c=")</f>
        <v>#VALUE!</v>
      </c>
      <c r="HI7" t="e">
        <f>AND(Data!P38,"AAAAAH/fx9g=")</f>
        <v>#VALUE!</v>
      </c>
      <c r="HJ7" t="e">
        <f>AND(Data!Q38,"AAAAAH/fx9k=")</f>
        <v>#VALUE!</v>
      </c>
      <c r="HK7" t="e">
        <f>AND(Data!#REF!,"AAAAAH/fx9o=")</f>
        <v>#REF!</v>
      </c>
      <c r="HL7" t="e">
        <f>AND(Data!#REF!,"AAAAAH/fx9s=")</f>
        <v>#REF!</v>
      </c>
      <c r="HM7" t="e">
        <f>AND(Data!#REF!,"AAAAAH/fx9w=")</f>
        <v>#REF!</v>
      </c>
      <c r="HN7" t="e">
        <f>AND(Data!#REF!,"AAAAAH/fx90=")</f>
        <v>#REF!</v>
      </c>
      <c r="HO7" t="e">
        <f>AND(Data!#REF!,"AAAAAH/fx94=")</f>
        <v>#REF!</v>
      </c>
      <c r="HP7" t="e">
        <f>AND(Data!#REF!,"AAAAAH/fx98=")</f>
        <v>#REF!</v>
      </c>
      <c r="HQ7" t="e">
        <f>AND(Data!#REF!,"AAAAAH/fx+A=")</f>
        <v>#REF!</v>
      </c>
      <c r="HR7" t="e">
        <f>AND(Data!#REF!,"AAAAAH/fx+E=")</f>
        <v>#REF!</v>
      </c>
      <c r="HS7" t="e">
        <f>AND(Data!#REF!,"AAAAAH/fx+I=")</f>
        <v>#REF!</v>
      </c>
      <c r="HT7" t="e">
        <f>AND(Data!#REF!,"AAAAAH/fx+M=")</f>
        <v>#REF!</v>
      </c>
      <c r="HU7">
        <f>IF(Data!39:39,"AAAAAH/fx+Q=",0)</f>
        <v>0</v>
      </c>
      <c r="HV7" t="e">
        <f>AND(Data!A39,"AAAAAH/fx+U=")</f>
        <v>#VALUE!</v>
      </c>
      <c r="HW7" t="e">
        <f>AND(Data!B39,"AAAAAH/fx+Y=")</f>
        <v>#VALUE!</v>
      </c>
      <c r="HX7" t="e">
        <f>AND(Data!C39,"AAAAAH/fx+c=")</f>
        <v>#VALUE!</v>
      </c>
      <c r="HY7" t="e">
        <f>AND(Data!D39,"AAAAAH/fx+g=")</f>
        <v>#VALUE!</v>
      </c>
      <c r="HZ7" t="e">
        <f>AND(Data!E39,"AAAAAH/fx+k=")</f>
        <v>#VALUE!</v>
      </c>
      <c r="IA7" t="e">
        <f>AND(Data!F39,"AAAAAH/fx+o=")</f>
        <v>#VALUE!</v>
      </c>
      <c r="IB7" t="e">
        <f>AND(Data!G39,"AAAAAH/fx+s=")</f>
        <v>#VALUE!</v>
      </c>
      <c r="IC7" t="e">
        <f>AND(Data!H39,"AAAAAH/fx+w=")</f>
        <v>#VALUE!</v>
      </c>
      <c r="ID7" t="e">
        <f>AND(Data!I39,"AAAAAH/fx+0=")</f>
        <v>#VALUE!</v>
      </c>
      <c r="IE7" t="e">
        <f>AND(Data!J39,"AAAAAH/fx+4=")</f>
        <v>#VALUE!</v>
      </c>
      <c r="IF7" t="e">
        <f>AND(Data!K39,"AAAAAH/fx+8=")</f>
        <v>#VALUE!</v>
      </c>
      <c r="IG7" t="e">
        <f>AND(Data!L39,"AAAAAH/fx/A=")</f>
        <v>#VALUE!</v>
      </c>
      <c r="IH7" t="e">
        <f>AND(Data!M39,"AAAAAH/fx/E=")</f>
        <v>#VALUE!</v>
      </c>
      <c r="II7" t="e">
        <f>AND(Data!N39,"AAAAAH/fx/I=")</f>
        <v>#VALUE!</v>
      </c>
      <c r="IJ7" t="e">
        <f>AND(Data!O39,"AAAAAH/fx/M=")</f>
        <v>#VALUE!</v>
      </c>
      <c r="IK7" t="e">
        <f>AND(Data!P39,"AAAAAH/fx/Q=")</f>
        <v>#VALUE!</v>
      </c>
      <c r="IL7" t="e">
        <f>AND(Data!Q39,"AAAAAH/fx/U=")</f>
        <v>#VALUE!</v>
      </c>
      <c r="IM7" t="e">
        <f>AND(Data!#REF!,"AAAAAH/fx/Y=")</f>
        <v>#REF!</v>
      </c>
      <c r="IN7" t="e">
        <f>AND(Data!#REF!,"AAAAAH/fx/c=")</f>
        <v>#REF!</v>
      </c>
      <c r="IO7" t="e">
        <f>AND(Data!#REF!,"AAAAAH/fx/g=")</f>
        <v>#REF!</v>
      </c>
      <c r="IP7" t="e">
        <f>AND(Data!#REF!,"AAAAAH/fx/k=")</f>
        <v>#REF!</v>
      </c>
      <c r="IQ7" t="e">
        <f>AND(Data!#REF!,"AAAAAH/fx/o=")</f>
        <v>#REF!</v>
      </c>
      <c r="IR7" t="e">
        <f>AND(Data!#REF!,"AAAAAH/fx/s=")</f>
        <v>#REF!</v>
      </c>
      <c r="IS7" t="e">
        <f>AND(Data!#REF!,"AAAAAH/fx/w=")</f>
        <v>#REF!</v>
      </c>
      <c r="IT7" t="e">
        <f>AND(Data!#REF!,"AAAAAH/fx/0=")</f>
        <v>#REF!</v>
      </c>
      <c r="IU7" t="e">
        <f>AND(Data!#REF!,"AAAAAH/fx/4=")</f>
        <v>#REF!</v>
      </c>
      <c r="IV7" t="e">
        <f>AND(Data!#REF!,"AAAAAH/fx/8=")</f>
        <v>#REF!</v>
      </c>
    </row>
    <row r="8" spans="1:256">
      <c r="A8" t="str">
        <f>IF(Data!40:40,"AAAAAH932wA=",0)</f>
        <v>AAAAAH932wA=</v>
      </c>
      <c r="B8" t="e">
        <f>AND(Data!A40,"AAAAAH932wE=")</f>
        <v>#VALUE!</v>
      </c>
      <c r="C8" t="e">
        <f>AND(Data!B40,"AAAAAH932wI=")</f>
        <v>#VALUE!</v>
      </c>
      <c r="D8" t="e">
        <f>AND(Data!C40,"AAAAAH932wM=")</f>
        <v>#VALUE!</v>
      </c>
      <c r="E8" t="e">
        <f>AND(Data!D40,"AAAAAH932wQ=")</f>
        <v>#VALUE!</v>
      </c>
      <c r="F8" t="e">
        <f>AND(Data!E40,"AAAAAH932wU=")</f>
        <v>#VALUE!</v>
      </c>
      <c r="G8" t="e">
        <f>AND(Data!F40,"AAAAAH932wY=")</f>
        <v>#VALUE!</v>
      </c>
      <c r="H8" t="e">
        <f>AND(Data!G40,"AAAAAH932wc=")</f>
        <v>#VALUE!</v>
      </c>
      <c r="I8" t="e">
        <f>AND(Data!H40,"AAAAAH932wg=")</f>
        <v>#VALUE!</v>
      </c>
      <c r="J8" t="e">
        <f>AND(Data!I40,"AAAAAH932wk=")</f>
        <v>#VALUE!</v>
      </c>
      <c r="K8" t="e">
        <f>AND(Data!J40,"AAAAAH932wo=")</f>
        <v>#VALUE!</v>
      </c>
      <c r="L8" t="e">
        <f>AND(Data!K40,"AAAAAH932ws=")</f>
        <v>#VALUE!</v>
      </c>
      <c r="M8" t="e">
        <f>AND(Data!L40,"AAAAAH932ww=")</f>
        <v>#VALUE!</v>
      </c>
      <c r="N8" t="e">
        <f>AND(Data!M40,"AAAAAH932w0=")</f>
        <v>#VALUE!</v>
      </c>
      <c r="O8" t="e">
        <f>AND(Data!N40,"AAAAAH932w4=")</f>
        <v>#VALUE!</v>
      </c>
      <c r="P8" t="e">
        <f>AND(Data!O40,"AAAAAH932w8=")</f>
        <v>#VALUE!</v>
      </c>
      <c r="Q8" t="e">
        <f>AND(Data!P40,"AAAAAH932xA=")</f>
        <v>#VALUE!</v>
      </c>
      <c r="R8" t="e">
        <f>AND(Data!Q40,"AAAAAH932xE=")</f>
        <v>#VALUE!</v>
      </c>
      <c r="S8" t="e">
        <f>AND(Data!#REF!,"AAAAAH932xI=")</f>
        <v>#REF!</v>
      </c>
      <c r="T8" t="e">
        <f>AND(Data!#REF!,"AAAAAH932xM=")</f>
        <v>#REF!</v>
      </c>
      <c r="U8" t="e">
        <f>AND(Data!#REF!,"AAAAAH932xQ=")</f>
        <v>#REF!</v>
      </c>
      <c r="V8" t="e">
        <f>AND(Data!#REF!,"AAAAAH932xU=")</f>
        <v>#REF!</v>
      </c>
      <c r="W8" t="e">
        <f>AND(Data!#REF!,"AAAAAH932xY=")</f>
        <v>#REF!</v>
      </c>
      <c r="X8" t="e">
        <f>AND(Data!#REF!,"AAAAAH932xc=")</f>
        <v>#REF!</v>
      </c>
      <c r="Y8" t="e">
        <f>AND(Data!#REF!,"AAAAAH932xg=")</f>
        <v>#REF!</v>
      </c>
      <c r="Z8" t="e">
        <f>AND(Data!#REF!,"AAAAAH932xk=")</f>
        <v>#REF!</v>
      </c>
      <c r="AA8" t="e">
        <f>AND(Data!#REF!,"AAAAAH932xo=")</f>
        <v>#REF!</v>
      </c>
      <c r="AB8" t="e">
        <f>AND(Data!#REF!,"AAAAAH932xs=")</f>
        <v>#REF!</v>
      </c>
      <c r="AC8">
        <f>IF(Data!41:41,"AAAAAH932xw=",0)</f>
        <v>0</v>
      </c>
      <c r="AD8" t="e">
        <f>AND(Data!A41,"AAAAAH932x0=")</f>
        <v>#VALUE!</v>
      </c>
      <c r="AE8" t="e">
        <f>AND(Data!B41,"AAAAAH932x4=")</f>
        <v>#VALUE!</v>
      </c>
      <c r="AF8" t="e">
        <f>AND(Data!C41,"AAAAAH932x8=")</f>
        <v>#VALUE!</v>
      </c>
      <c r="AG8" t="e">
        <f>AND(Data!D41,"AAAAAH932yA=")</f>
        <v>#VALUE!</v>
      </c>
      <c r="AH8" t="e">
        <f>AND(Data!E41,"AAAAAH932yE=")</f>
        <v>#VALUE!</v>
      </c>
      <c r="AI8" t="e">
        <f>AND(Data!F41,"AAAAAH932yI=")</f>
        <v>#VALUE!</v>
      </c>
      <c r="AJ8" t="e">
        <f>AND(Data!G41,"AAAAAH932yM=")</f>
        <v>#VALUE!</v>
      </c>
      <c r="AK8" t="e">
        <f>AND(Data!H41,"AAAAAH932yQ=")</f>
        <v>#VALUE!</v>
      </c>
      <c r="AL8" t="e">
        <f>AND(Data!I41,"AAAAAH932yU=")</f>
        <v>#VALUE!</v>
      </c>
      <c r="AM8" t="e">
        <f>AND(Data!J41,"AAAAAH932yY=")</f>
        <v>#VALUE!</v>
      </c>
      <c r="AN8" t="e">
        <f>AND(Data!K41,"AAAAAH932yc=")</f>
        <v>#VALUE!</v>
      </c>
      <c r="AO8" t="e">
        <f>AND(Data!L41,"AAAAAH932yg=")</f>
        <v>#VALUE!</v>
      </c>
      <c r="AP8" t="e">
        <f>AND(Data!M41,"AAAAAH932yk=")</f>
        <v>#VALUE!</v>
      </c>
      <c r="AQ8" t="e">
        <f>AND(Data!N41,"AAAAAH932yo=")</f>
        <v>#VALUE!</v>
      </c>
      <c r="AR8" t="e">
        <f>AND(Data!O41,"AAAAAH932ys=")</f>
        <v>#VALUE!</v>
      </c>
      <c r="AS8" t="e">
        <f>AND(Data!P41,"AAAAAH932yw=")</f>
        <v>#VALUE!</v>
      </c>
      <c r="AT8" t="e">
        <f>AND(Data!Q41,"AAAAAH932y0=")</f>
        <v>#VALUE!</v>
      </c>
      <c r="AU8" t="e">
        <f>AND(Data!#REF!,"AAAAAH932y4=")</f>
        <v>#REF!</v>
      </c>
      <c r="AV8" t="e">
        <f>AND(Data!#REF!,"AAAAAH932y8=")</f>
        <v>#REF!</v>
      </c>
      <c r="AW8" t="e">
        <f>AND(Data!#REF!,"AAAAAH932zA=")</f>
        <v>#REF!</v>
      </c>
      <c r="AX8" t="e">
        <f>AND(Data!#REF!,"AAAAAH932zE=")</f>
        <v>#REF!</v>
      </c>
      <c r="AY8" t="e">
        <f>AND(Data!#REF!,"AAAAAH932zI=")</f>
        <v>#REF!</v>
      </c>
      <c r="AZ8" t="e">
        <f>AND(Data!#REF!,"AAAAAH932zM=")</f>
        <v>#REF!</v>
      </c>
      <c r="BA8" t="e">
        <f>AND(Data!#REF!,"AAAAAH932zQ=")</f>
        <v>#REF!</v>
      </c>
      <c r="BB8" t="e">
        <f>AND(Data!#REF!,"AAAAAH932zU=")</f>
        <v>#REF!</v>
      </c>
      <c r="BC8" t="e">
        <f>AND(Data!#REF!,"AAAAAH932zY=")</f>
        <v>#REF!</v>
      </c>
      <c r="BD8" t="e">
        <f>AND(Data!#REF!,"AAAAAH932zc=")</f>
        <v>#REF!</v>
      </c>
      <c r="BE8">
        <f>IF(Data!42:42,"AAAAAH932zg=",0)</f>
        <v>0</v>
      </c>
      <c r="BF8" t="e">
        <f>AND(Data!A42,"AAAAAH932zk=")</f>
        <v>#VALUE!</v>
      </c>
      <c r="BG8" t="e">
        <f>AND(Data!B42,"AAAAAH932zo=")</f>
        <v>#VALUE!</v>
      </c>
      <c r="BH8" t="e">
        <f>AND(Data!C42,"AAAAAH932zs=")</f>
        <v>#VALUE!</v>
      </c>
      <c r="BI8" t="e">
        <f>AND(Data!D42,"AAAAAH932zw=")</f>
        <v>#VALUE!</v>
      </c>
      <c r="BJ8" t="e">
        <f>AND(Data!E42,"AAAAAH932z0=")</f>
        <v>#VALUE!</v>
      </c>
      <c r="BK8" t="e">
        <f>AND(Data!F42,"AAAAAH932z4=")</f>
        <v>#VALUE!</v>
      </c>
      <c r="BL8" t="e">
        <f>AND(Data!G42,"AAAAAH932z8=")</f>
        <v>#VALUE!</v>
      </c>
      <c r="BM8" t="e">
        <f>AND(Data!H42,"AAAAAH9320A=")</f>
        <v>#VALUE!</v>
      </c>
      <c r="BN8" t="e">
        <f>AND(Data!I42,"AAAAAH9320E=")</f>
        <v>#VALUE!</v>
      </c>
      <c r="BO8" t="e">
        <f>AND(Data!J42,"AAAAAH9320I=")</f>
        <v>#VALUE!</v>
      </c>
      <c r="BP8" t="e">
        <f>AND(Data!K42,"AAAAAH9320M=")</f>
        <v>#VALUE!</v>
      </c>
      <c r="BQ8" t="e">
        <f>AND(Data!L42,"AAAAAH9320Q=")</f>
        <v>#VALUE!</v>
      </c>
      <c r="BR8" t="e">
        <f>AND(Data!M42,"AAAAAH9320U=")</f>
        <v>#VALUE!</v>
      </c>
      <c r="BS8" t="e">
        <f>AND(Data!N42,"AAAAAH9320Y=")</f>
        <v>#VALUE!</v>
      </c>
      <c r="BT8" t="e">
        <f>AND(Data!O42,"AAAAAH9320c=")</f>
        <v>#VALUE!</v>
      </c>
      <c r="BU8" t="e">
        <f>AND(Data!P42,"AAAAAH9320g=")</f>
        <v>#VALUE!</v>
      </c>
      <c r="BV8" t="e">
        <f>AND(Data!Q42,"AAAAAH9320k=")</f>
        <v>#VALUE!</v>
      </c>
      <c r="BW8" t="e">
        <f>AND(Data!#REF!,"AAAAAH9320o=")</f>
        <v>#REF!</v>
      </c>
      <c r="BX8" t="e">
        <f>AND(Data!#REF!,"AAAAAH9320s=")</f>
        <v>#REF!</v>
      </c>
      <c r="BY8" t="e">
        <f>AND(Data!#REF!,"AAAAAH9320w=")</f>
        <v>#REF!</v>
      </c>
      <c r="BZ8" t="e">
        <f>AND(Data!#REF!,"AAAAAH93200=")</f>
        <v>#REF!</v>
      </c>
      <c r="CA8" t="e">
        <f>AND(Data!#REF!,"AAAAAH93204=")</f>
        <v>#REF!</v>
      </c>
      <c r="CB8" t="e">
        <f>AND(Data!#REF!,"AAAAAH93208=")</f>
        <v>#REF!</v>
      </c>
      <c r="CC8" t="e">
        <f>AND(Data!#REF!,"AAAAAH9321A=")</f>
        <v>#REF!</v>
      </c>
      <c r="CD8" t="e">
        <f>AND(Data!#REF!,"AAAAAH9321E=")</f>
        <v>#REF!</v>
      </c>
      <c r="CE8" t="e">
        <f>AND(Data!#REF!,"AAAAAH9321I=")</f>
        <v>#REF!</v>
      </c>
      <c r="CF8" t="e">
        <f>AND(Data!#REF!,"AAAAAH9321M=")</f>
        <v>#REF!</v>
      </c>
      <c r="CG8">
        <f>IF(Data!43:43,"AAAAAH9321Q=",0)</f>
        <v>0</v>
      </c>
      <c r="CH8" t="e">
        <f>AND(Data!A43,"AAAAAH9321U=")</f>
        <v>#VALUE!</v>
      </c>
      <c r="CI8" t="e">
        <f>AND(Data!B43,"AAAAAH9321Y=")</f>
        <v>#VALUE!</v>
      </c>
      <c r="CJ8" t="e">
        <f>AND(Data!C43,"AAAAAH9321c=")</f>
        <v>#VALUE!</v>
      </c>
      <c r="CK8" t="e">
        <f>AND(Data!D43,"AAAAAH9321g=")</f>
        <v>#VALUE!</v>
      </c>
      <c r="CL8" t="e">
        <f>AND(Data!E43,"AAAAAH9321k=")</f>
        <v>#VALUE!</v>
      </c>
      <c r="CM8" t="e">
        <f>AND(Data!F43,"AAAAAH9321o=")</f>
        <v>#VALUE!</v>
      </c>
      <c r="CN8" t="e">
        <f>AND(Data!G43,"AAAAAH9321s=")</f>
        <v>#VALUE!</v>
      </c>
      <c r="CO8" t="e">
        <f>AND(Data!H43,"AAAAAH9321w=")</f>
        <v>#VALUE!</v>
      </c>
      <c r="CP8" t="e">
        <f>AND(Data!I43,"AAAAAH93210=")</f>
        <v>#VALUE!</v>
      </c>
      <c r="CQ8" t="e">
        <f>AND(Data!J43,"AAAAAH93214=")</f>
        <v>#VALUE!</v>
      </c>
      <c r="CR8" t="e">
        <f>AND(Data!K43,"AAAAAH93218=")</f>
        <v>#VALUE!</v>
      </c>
      <c r="CS8" t="e">
        <f>AND(Data!L43,"AAAAAH9322A=")</f>
        <v>#VALUE!</v>
      </c>
      <c r="CT8" t="e">
        <f>AND(Data!M43,"AAAAAH9322E=")</f>
        <v>#VALUE!</v>
      </c>
      <c r="CU8" t="e">
        <f>AND(Data!N43,"AAAAAH9322I=")</f>
        <v>#VALUE!</v>
      </c>
      <c r="CV8" t="e">
        <f>AND(Data!O43,"AAAAAH9322M=")</f>
        <v>#VALUE!</v>
      </c>
      <c r="CW8" t="e">
        <f>AND(Data!P43,"AAAAAH9322Q=")</f>
        <v>#VALUE!</v>
      </c>
      <c r="CX8" t="e">
        <f>AND(Data!Q43,"AAAAAH9322U=")</f>
        <v>#VALUE!</v>
      </c>
      <c r="CY8" t="e">
        <f>AND(Data!#REF!,"AAAAAH9322Y=")</f>
        <v>#REF!</v>
      </c>
      <c r="CZ8" t="e">
        <f>AND(Data!#REF!,"AAAAAH9322c=")</f>
        <v>#REF!</v>
      </c>
      <c r="DA8" t="e">
        <f>AND(Data!#REF!,"AAAAAH9322g=")</f>
        <v>#REF!</v>
      </c>
      <c r="DB8" t="e">
        <f>AND(Data!#REF!,"AAAAAH9322k=")</f>
        <v>#REF!</v>
      </c>
      <c r="DC8" t="e">
        <f>AND(Data!#REF!,"AAAAAH9322o=")</f>
        <v>#REF!</v>
      </c>
      <c r="DD8" t="e">
        <f>AND(Data!#REF!,"AAAAAH9322s=")</f>
        <v>#REF!</v>
      </c>
      <c r="DE8" t="e">
        <f>AND(Data!#REF!,"AAAAAH9322w=")</f>
        <v>#REF!</v>
      </c>
      <c r="DF8" t="e">
        <f>AND(Data!#REF!,"AAAAAH93220=")</f>
        <v>#REF!</v>
      </c>
      <c r="DG8" t="e">
        <f>AND(Data!#REF!,"AAAAAH93224=")</f>
        <v>#REF!</v>
      </c>
      <c r="DH8" t="e">
        <f>AND(Data!#REF!,"AAAAAH93228=")</f>
        <v>#REF!</v>
      </c>
      <c r="DI8">
        <f>IF(Data!44:44,"AAAAAH9323A=",0)</f>
        <v>0</v>
      </c>
      <c r="DJ8" t="e">
        <f>AND(Data!A44,"AAAAAH9323E=")</f>
        <v>#VALUE!</v>
      </c>
      <c r="DK8" t="e">
        <f>AND(Data!B44,"AAAAAH9323I=")</f>
        <v>#VALUE!</v>
      </c>
      <c r="DL8" t="e">
        <f>AND(Data!C44,"AAAAAH9323M=")</f>
        <v>#VALUE!</v>
      </c>
      <c r="DM8" t="e">
        <f>AND(Data!D44,"AAAAAH9323Q=")</f>
        <v>#VALUE!</v>
      </c>
      <c r="DN8" t="e">
        <f>AND(Data!E44,"AAAAAH9323U=")</f>
        <v>#VALUE!</v>
      </c>
      <c r="DO8" t="e">
        <f>AND(Data!F44,"AAAAAH9323Y=")</f>
        <v>#VALUE!</v>
      </c>
      <c r="DP8" t="e">
        <f>AND(Data!G44,"AAAAAH9323c=")</f>
        <v>#VALUE!</v>
      </c>
      <c r="DQ8" t="e">
        <f>AND(Data!H44,"AAAAAH9323g=")</f>
        <v>#VALUE!</v>
      </c>
      <c r="DR8" t="e">
        <f>AND(Data!I44,"AAAAAH9323k=")</f>
        <v>#VALUE!</v>
      </c>
      <c r="DS8" t="e">
        <f>AND(Data!J44,"AAAAAH9323o=")</f>
        <v>#VALUE!</v>
      </c>
      <c r="DT8" t="e">
        <f>AND(Data!K44,"AAAAAH9323s=")</f>
        <v>#VALUE!</v>
      </c>
      <c r="DU8" t="e">
        <f>AND(Data!L44,"AAAAAH9323w=")</f>
        <v>#VALUE!</v>
      </c>
      <c r="DV8" t="e">
        <f>AND(Data!M44,"AAAAAH93230=")</f>
        <v>#VALUE!</v>
      </c>
      <c r="DW8" t="e">
        <f>AND(Data!N44,"AAAAAH93234=")</f>
        <v>#VALUE!</v>
      </c>
      <c r="DX8" t="e">
        <f>AND(Data!O44,"AAAAAH93238=")</f>
        <v>#VALUE!</v>
      </c>
      <c r="DY8" t="e">
        <f>AND(Data!P44,"AAAAAH9324A=")</f>
        <v>#VALUE!</v>
      </c>
      <c r="DZ8" t="e">
        <f>AND(Data!Q44,"AAAAAH9324E=")</f>
        <v>#VALUE!</v>
      </c>
      <c r="EA8" t="e">
        <f>AND(Data!#REF!,"AAAAAH9324I=")</f>
        <v>#REF!</v>
      </c>
      <c r="EB8" t="e">
        <f>AND(Data!#REF!,"AAAAAH9324M=")</f>
        <v>#REF!</v>
      </c>
      <c r="EC8" t="e">
        <f>AND(Data!#REF!,"AAAAAH9324Q=")</f>
        <v>#REF!</v>
      </c>
      <c r="ED8" t="e">
        <f>AND(Data!#REF!,"AAAAAH9324U=")</f>
        <v>#REF!</v>
      </c>
      <c r="EE8" t="e">
        <f>AND(Data!#REF!,"AAAAAH9324Y=")</f>
        <v>#REF!</v>
      </c>
      <c r="EF8" t="e">
        <f>AND(Data!#REF!,"AAAAAH9324c=")</f>
        <v>#REF!</v>
      </c>
      <c r="EG8" t="e">
        <f>AND(Data!#REF!,"AAAAAH9324g=")</f>
        <v>#REF!</v>
      </c>
      <c r="EH8" t="e">
        <f>AND(Data!#REF!,"AAAAAH9324k=")</f>
        <v>#REF!</v>
      </c>
      <c r="EI8" t="e">
        <f>AND(Data!#REF!,"AAAAAH9324o=")</f>
        <v>#REF!</v>
      </c>
      <c r="EJ8" t="e">
        <f>AND(Data!#REF!,"AAAAAH9324s=")</f>
        <v>#REF!</v>
      </c>
      <c r="EK8">
        <f>IF(Data!45:45,"AAAAAH9324w=",0)</f>
        <v>0</v>
      </c>
      <c r="EL8" t="e">
        <f>AND(Data!A45,"AAAAAH93240=")</f>
        <v>#VALUE!</v>
      </c>
      <c r="EM8" t="e">
        <f>AND(Data!B45,"AAAAAH93244=")</f>
        <v>#VALUE!</v>
      </c>
      <c r="EN8" t="e">
        <f>AND(Data!C45,"AAAAAH93248=")</f>
        <v>#VALUE!</v>
      </c>
      <c r="EO8" t="e">
        <f>AND(Data!D45,"AAAAAH9325A=")</f>
        <v>#VALUE!</v>
      </c>
      <c r="EP8" t="e">
        <f>AND(Data!E45,"AAAAAH9325E=")</f>
        <v>#VALUE!</v>
      </c>
      <c r="EQ8" t="e">
        <f>AND(Data!F45,"AAAAAH9325I=")</f>
        <v>#VALUE!</v>
      </c>
      <c r="ER8" t="e">
        <f>AND(Data!G45,"AAAAAH9325M=")</f>
        <v>#VALUE!</v>
      </c>
      <c r="ES8" t="e">
        <f>AND(Data!H45,"AAAAAH9325Q=")</f>
        <v>#VALUE!</v>
      </c>
      <c r="ET8" t="e">
        <f>AND(Data!I45,"AAAAAH9325U=")</f>
        <v>#VALUE!</v>
      </c>
      <c r="EU8" t="e">
        <f>AND(Data!J45,"AAAAAH9325Y=")</f>
        <v>#VALUE!</v>
      </c>
      <c r="EV8" t="e">
        <f>AND(Data!K45,"AAAAAH9325c=")</f>
        <v>#VALUE!</v>
      </c>
      <c r="EW8" t="e">
        <f>AND(Data!L45,"AAAAAH9325g=")</f>
        <v>#VALUE!</v>
      </c>
      <c r="EX8" t="e">
        <f>AND(Data!M45,"AAAAAH9325k=")</f>
        <v>#VALUE!</v>
      </c>
      <c r="EY8" t="e">
        <f>AND(Data!N45,"AAAAAH9325o=")</f>
        <v>#VALUE!</v>
      </c>
      <c r="EZ8" t="e">
        <f>AND(Data!O45,"AAAAAH9325s=")</f>
        <v>#VALUE!</v>
      </c>
      <c r="FA8" t="e">
        <f>AND(Data!P45,"AAAAAH9325w=")</f>
        <v>#VALUE!</v>
      </c>
      <c r="FB8" t="e">
        <f>AND(Data!Q45,"AAAAAH93250=")</f>
        <v>#VALUE!</v>
      </c>
      <c r="FC8" t="e">
        <f>AND(Data!#REF!,"AAAAAH93254=")</f>
        <v>#REF!</v>
      </c>
      <c r="FD8" t="e">
        <f>AND(Data!#REF!,"AAAAAH93258=")</f>
        <v>#REF!</v>
      </c>
      <c r="FE8" t="e">
        <f>AND(Data!#REF!,"AAAAAH9326A=")</f>
        <v>#REF!</v>
      </c>
      <c r="FF8" t="e">
        <f>AND(Data!#REF!,"AAAAAH9326E=")</f>
        <v>#REF!</v>
      </c>
      <c r="FG8" t="e">
        <f>AND(Data!#REF!,"AAAAAH9326I=")</f>
        <v>#REF!</v>
      </c>
      <c r="FH8" t="e">
        <f>AND(Data!#REF!,"AAAAAH9326M=")</f>
        <v>#REF!</v>
      </c>
      <c r="FI8" t="e">
        <f>AND(Data!#REF!,"AAAAAH9326Q=")</f>
        <v>#REF!</v>
      </c>
      <c r="FJ8" t="e">
        <f>AND(Data!#REF!,"AAAAAH9326U=")</f>
        <v>#REF!</v>
      </c>
      <c r="FK8" t="e">
        <f>AND(Data!#REF!,"AAAAAH9326Y=")</f>
        <v>#REF!</v>
      </c>
      <c r="FL8" t="e">
        <f>AND(Data!#REF!,"AAAAAH9326c=")</f>
        <v>#REF!</v>
      </c>
      <c r="FM8">
        <f>IF(Data!46:46,"AAAAAH9326g=",0)</f>
        <v>0</v>
      </c>
      <c r="FN8" t="e">
        <f>AND(Data!A46,"AAAAAH9326k=")</f>
        <v>#VALUE!</v>
      </c>
      <c r="FO8" t="e">
        <f>AND(Data!B46,"AAAAAH9326o=")</f>
        <v>#VALUE!</v>
      </c>
      <c r="FP8" t="e">
        <f>AND(Data!C46,"AAAAAH9326s=")</f>
        <v>#VALUE!</v>
      </c>
      <c r="FQ8" t="e">
        <f>AND(Data!D46,"AAAAAH9326w=")</f>
        <v>#VALUE!</v>
      </c>
      <c r="FR8" t="e">
        <f>AND(Data!E46,"AAAAAH93260=")</f>
        <v>#VALUE!</v>
      </c>
      <c r="FS8" t="e">
        <f>AND(Data!F46,"AAAAAH93264=")</f>
        <v>#VALUE!</v>
      </c>
      <c r="FT8" t="e">
        <f>AND(Data!G46,"AAAAAH93268=")</f>
        <v>#VALUE!</v>
      </c>
      <c r="FU8" t="e">
        <f>AND(Data!H46,"AAAAAH9327A=")</f>
        <v>#VALUE!</v>
      </c>
      <c r="FV8" t="e">
        <f>AND(Data!I46,"AAAAAH9327E=")</f>
        <v>#VALUE!</v>
      </c>
      <c r="FW8" t="e">
        <f>AND(Data!J46,"AAAAAH9327I=")</f>
        <v>#VALUE!</v>
      </c>
      <c r="FX8" t="e">
        <f>AND(Data!K46,"AAAAAH9327M=")</f>
        <v>#VALUE!</v>
      </c>
      <c r="FY8" t="e">
        <f>AND(Data!L46,"AAAAAH9327Q=")</f>
        <v>#VALUE!</v>
      </c>
      <c r="FZ8" t="e">
        <f>AND(Data!M46,"AAAAAH9327U=")</f>
        <v>#VALUE!</v>
      </c>
      <c r="GA8" t="e">
        <f>AND(Data!N46,"AAAAAH9327Y=")</f>
        <v>#VALUE!</v>
      </c>
      <c r="GB8" t="e">
        <f>AND(Data!O46,"AAAAAH9327c=")</f>
        <v>#VALUE!</v>
      </c>
      <c r="GC8" t="e">
        <f>AND(Data!P46,"AAAAAH9327g=")</f>
        <v>#VALUE!</v>
      </c>
      <c r="GD8" t="e">
        <f>AND(Data!Q46,"AAAAAH9327k=")</f>
        <v>#VALUE!</v>
      </c>
      <c r="GE8" t="e">
        <f>AND(Data!#REF!,"AAAAAH9327o=")</f>
        <v>#REF!</v>
      </c>
      <c r="GF8" t="e">
        <f>AND(Data!#REF!,"AAAAAH9327s=")</f>
        <v>#REF!</v>
      </c>
      <c r="GG8" t="e">
        <f>AND(Data!#REF!,"AAAAAH9327w=")</f>
        <v>#REF!</v>
      </c>
      <c r="GH8" t="e">
        <f>AND(Data!#REF!,"AAAAAH93270=")</f>
        <v>#REF!</v>
      </c>
      <c r="GI8" t="e">
        <f>AND(Data!#REF!,"AAAAAH93274=")</f>
        <v>#REF!</v>
      </c>
      <c r="GJ8" t="e">
        <f>AND(Data!#REF!,"AAAAAH93278=")</f>
        <v>#REF!</v>
      </c>
      <c r="GK8" t="e">
        <f>AND(Data!#REF!,"AAAAAH9328A=")</f>
        <v>#REF!</v>
      </c>
      <c r="GL8" t="e">
        <f>AND(Data!#REF!,"AAAAAH9328E=")</f>
        <v>#REF!</v>
      </c>
      <c r="GM8" t="e">
        <f>AND(Data!#REF!,"AAAAAH9328I=")</f>
        <v>#REF!</v>
      </c>
      <c r="GN8" t="e">
        <f>AND(Data!#REF!,"AAAAAH9328M=")</f>
        <v>#REF!</v>
      </c>
      <c r="GO8">
        <f>IF(Data!47:47,"AAAAAH9328Q=",0)</f>
        <v>0</v>
      </c>
      <c r="GP8" t="e">
        <f>AND(Data!A47,"AAAAAH9328U=")</f>
        <v>#VALUE!</v>
      </c>
      <c r="GQ8" t="e">
        <f>AND(Data!B47,"AAAAAH9328Y=")</f>
        <v>#VALUE!</v>
      </c>
      <c r="GR8" t="e">
        <f>AND(Data!C47,"AAAAAH9328c=")</f>
        <v>#VALUE!</v>
      </c>
      <c r="GS8" t="e">
        <f>AND(Data!D47,"AAAAAH9328g=")</f>
        <v>#VALUE!</v>
      </c>
      <c r="GT8" t="e">
        <f>AND(Data!E47,"AAAAAH9328k=")</f>
        <v>#VALUE!</v>
      </c>
      <c r="GU8" t="e">
        <f>AND(Data!F47,"AAAAAH9328o=")</f>
        <v>#VALUE!</v>
      </c>
      <c r="GV8" t="e">
        <f>AND(Data!G47,"AAAAAH9328s=")</f>
        <v>#VALUE!</v>
      </c>
      <c r="GW8" t="e">
        <f>AND(Data!H47,"AAAAAH9328w=")</f>
        <v>#VALUE!</v>
      </c>
      <c r="GX8" t="e">
        <f>AND(Data!I47,"AAAAAH93280=")</f>
        <v>#VALUE!</v>
      </c>
      <c r="GY8" t="e">
        <f>AND(Data!J47,"AAAAAH93284=")</f>
        <v>#VALUE!</v>
      </c>
      <c r="GZ8" t="e">
        <f>AND(Data!K47,"AAAAAH93288=")</f>
        <v>#VALUE!</v>
      </c>
      <c r="HA8" t="e">
        <f>AND(Data!L47,"AAAAAH9329A=")</f>
        <v>#VALUE!</v>
      </c>
      <c r="HB8" t="e">
        <f>AND(Data!M47,"AAAAAH9329E=")</f>
        <v>#VALUE!</v>
      </c>
      <c r="HC8" t="e">
        <f>AND(Data!N47,"AAAAAH9329I=")</f>
        <v>#VALUE!</v>
      </c>
      <c r="HD8" t="e">
        <f>AND(Data!O47,"AAAAAH9329M=")</f>
        <v>#VALUE!</v>
      </c>
      <c r="HE8" t="e">
        <f>AND(Data!P47,"AAAAAH9329Q=")</f>
        <v>#VALUE!</v>
      </c>
      <c r="HF8" t="e">
        <f>AND(Data!Q47,"AAAAAH9329U=")</f>
        <v>#VALUE!</v>
      </c>
      <c r="HG8" t="e">
        <f>AND(Data!#REF!,"AAAAAH9329Y=")</f>
        <v>#REF!</v>
      </c>
      <c r="HH8" t="e">
        <f>AND(Data!#REF!,"AAAAAH9329c=")</f>
        <v>#REF!</v>
      </c>
      <c r="HI8" t="e">
        <f>AND(Data!#REF!,"AAAAAH9329g=")</f>
        <v>#REF!</v>
      </c>
      <c r="HJ8" t="e">
        <f>AND(Data!#REF!,"AAAAAH9329k=")</f>
        <v>#REF!</v>
      </c>
      <c r="HK8" t="e">
        <f>AND(Data!#REF!,"AAAAAH9329o=")</f>
        <v>#REF!</v>
      </c>
      <c r="HL8" t="e">
        <f>AND(Data!#REF!,"AAAAAH9329s=")</f>
        <v>#REF!</v>
      </c>
      <c r="HM8" t="e">
        <f>AND(Data!#REF!,"AAAAAH9329w=")</f>
        <v>#REF!</v>
      </c>
      <c r="HN8" t="e">
        <f>AND(Data!#REF!,"AAAAAH93290=")</f>
        <v>#REF!</v>
      </c>
      <c r="HO8" t="e">
        <f>AND(Data!#REF!,"AAAAAH93294=")</f>
        <v>#REF!</v>
      </c>
      <c r="HP8" t="e">
        <f>AND(Data!#REF!,"AAAAAH93298=")</f>
        <v>#REF!</v>
      </c>
      <c r="HQ8">
        <f>IF(Data!48:48,"AAAAAH932+A=",0)</f>
        <v>0</v>
      </c>
      <c r="HR8" t="e">
        <f>AND(Data!A48,"AAAAAH932+E=")</f>
        <v>#VALUE!</v>
      </c>
      <c r="HS8" t="e">
        <f>AND(Data!B48,"AAAAAH932+I=")</f>
        <v>#VALUE!</v>
      </c>
      <c r="HT8" t="e">
        <f>AND(Data!C48,"AAAAAH932+M=")</f>
        <v>#VALUE!</v>
      </c>
      <c r="HU8" t="e">
        <f>AND(Data!D48,"AAAAAH932+Q=")</f>
        <v>#VALUE!</v>
      </c>
      <c r="HV8" t="e">
        <f>AND(Data!E48,"AAAAAH932+U=")</f>
        <v>#VALUE!</v>
      </c>
      <c r="HW8" t="e">
        <f>AND(Data!F48,"AAAAAH932+Y=")</f>
        <v>#VALUE!</v>
      </c>
      <c r="HX8" t="e">
        <f>AND(Data!G48,"AAAAAH932+c=")</f>
        <v>#VALUE!</v>
      </c>
      <c r="HY8" t="e">
        <f>AND(Data!H48,"AAAAAH932+g=")</f>
        <v>#VALUE!</v>
      </c>
      <c r="HZ8" t="e">
        <f>AND(Data!I48,"AAAAAH932+k=")</f>
        <v>#VALUE!</v>
      </c>
      <c r="IA8" t="e">
        <f>AND(Data!J48,"AAAAAH932+o=")</f>
        <v>#VALUE!</v>
      </c>
      <c r="IB8" t="e">
        <f>AND(Data!K48,"AAAAAH932+s=")</f>
        <v>#VALUE!</v>
      </c>
      <c r="IC8" t="e">
        <f>AND(Data!L48,"AAAAAH932+w=")</f>
        <v>#VALUE!</v>
      </c>
      <c r="ID8" t="e">
        <f>AND(Data!M48,"AAAAAH932+0=")</f>
        <v>#VALUE!</v>
      </c>
      <c r="IE8" t="e">
        <f>AND(Data!N48,"AAAAAH932+4=")</f>
        <v>#VALUE!</v>
      </c>
      <c r="IF8" t="e">
        <f>AND(Data!O48,"AAAAAH932+8=")</f>
        <v>#VALUE!</v>
      </c>
      <c r="IG8" t="e">
        <f>AND(Data!P48,"AAAAAH932/A=")</f>
        <v>#VALUE!</v>
      </c>
      <c r="IH8" t="e">
        <f>AND(Data!Q48,"AAAAAH932/E=")</f>
        <v>#VALUE!</v>
      </c>
      <c r="II8" t="e">
        <f>AND(Data!#REF!,"AAAAAH932/I=")</f>
        <v>#REF!</v>
      </c>
      <c r="IJ8" t="e">
        <f>AND(Data!#REF!,"AAAAAH932/M=")</f>
        <v>#REF!</v>
      </c>
      <c r="IK8" t="e">
        <f>AND(Data!#REF!,"AAAAAH932/Q=")</f>
        <v>#REF!</v>
      </c>
      <c r="IL8" t="e">
        <f>AND(Data!#REF!,"AAAAAH932/U=")</f>
        <v>#REF!</v>
      </c>
      <c r="IM8" t="e">
        <f>AND(Data!#REF!,"AAAAAH932/Y=")</f>
        <v>#REF!</v>
      </c>
      <c r="IN8" t="e">
        <f>AND(Data!#REF!,"AAAAAH932/c=")</f>
        <v>#REF!</v>
      </c>
      <c r="IO8" t="e">
        <f>AND(Data!#REF!,"AAAAAH932/g=")</f>
        <v>#REF!</v>
      </c>
      <c r="IP8" t="e">
        <f>AND(Data!#REF!,"AAAAAH932/k=")</f>
        <v>#REF!</v>
      </c>
      <c r="IQ8" t="e">
        <f>AND(Data!#REF!,"AAAAAH932/o=")</f>
        <v>#REF!</v>
      </c>
      <c r="IR8" t="e">
        <f>AND(Data!#REF!,"AAAAAH932/s=")</f>
        <v>#REF!</v>
      </c>
      <c r="IS8">
        <f>IF(Data!49:49,"AAAAAH932/w=",0)</f>
        <v>0</v>
      </c>
      <c r="IT8" t="e">
        <f>AND(Data!A49,"AAAAAH932/0=")</f>
        <v>#VALUE!</v>
      </c>
      <c r="IU8" t="e">
        <f>AND(Data!B49,"AAAAAH932/4=")</f>
        <v>#VALUE!</v>
      </c>
      <c r="IV8" t="e">
        <f>AND(Data!C49,"AAAAAH932/8=")</f>
        <v>#VALUE!</v>
      </c>
    </row>
    <row r="9" spans="1:256">
      <c r="A9" t="e">
        <f>AND(Data!D49,"AAAAAHl/8QA=")</f>
        <v>#VALUE!</v>
      </c>
      <c r="B9" t="e">
        <f>AND(Data!E49,"AAAAAHl/8QE=")</f>
        <v>#VALUE!</v>
      </c>
      <c r="C9" t="e">
        <f>AND(Data!F49,"AAAAAHl/8QI=")</f>
        <v>#VALUE!</v>
      </c>
      <c r="D9" t="e">
        <f>AND(Data!G49,"AAAAAHl/8QM=")</f>
        <v>#VALUE!</v>
      </c>
      <c r="E9" t="e">
        <f>AND(Data!H49,"AAAAAHl/8QQ=")</f>
        <v>#VALUE!</v>
      </c>
      <c r="F9" t="e">
        <f>AND(Data!I49,"AAAAAHl/8QU=")</f>
        <v>#VALUE!</v>
      </c>
      <c r="G9" t="e">
        <f>AND(Data!J49,"AAAAAHl/8QY=")</f>
        <v>#VALUE!</v>
      </c>
      <c r="H9" t="e">
        <f>AND(Data!K49,"AAAAAHl/8Qc=")</f>
        <v>#VALUE!</v>
      </c>
      <c r="I9" t="e">
        <f>AND(Data!L49,"AAAAAHl/8Qg=")</f>
        <v>#VALUE!</v>
      </c>
      <c r="J9" t="e">
        <f>AND(Data!M49,"AAAAAHl/8Qk=")</f>
        <v>#VALUE!</v>
      </c>
      <c r="K9" t="e">
        <f>AND(Data!N49,"AAAAAHl/8Qo=")</f>
        <v>#VALUE!</v>
      </c>
      <c r="L9" t="e">
        <f>AND(Data!O49,"AAAAAHl/8Qs=")</f>
        <v>#VALUE!</v>
      </c>
      <c r="M9" t="e">
        <f>AND(Data!P49,"AAAAAHl/8Qw=")</f>
        <v>#VALUE!</v>
      </c>
      <c r="N9" t="e">
        <f>AND(Data!Q49,"AAAAAHl/8Q0=")</f>
        <v>#VALUE!</v>
      </c>
      <c r="O9" t="e">
        <f>AND(Data!#REF!,"AAAAAHl/8Q4=")</f>
        <v>#REF!</v>
      </c>
      <c r="P9" t="e">
        <f>AND(Data!#REF!,"AAAAAHl/8Q8=")</f>
        <v>#REF!</v>
      </c>
      <c r="Q9" t="e">
        <f>AND(Data!#REF!,"AAAAAHl/8RA=")</f>
        <v>#REF!</v>
      </c>
      <c r="R9" t="e">
        <f>AND(Data!#REF!,"AAAAAHl/8RE=")</f>
        <v>#REF!</v>
      </c>
      <c r="S9" t="e">
        <f>AND(Data!#REF!,"AAAAAHl/8RI=")</f>
        <v>#REF!</v>
      </c>
      <c r="T9" t="e">
        <f>AND(Data!#REF!,"AAAAAHl/8RM=")</f>
        <v>#REF!</v>
      </c>
      <c r="U9" t="e">
        <f>AND(Data!#REF!,"AAAAAHl/8RQ=")</f>
        <v>#REF!</v>
      </c>
      <c r="V9" t="e">
        <f>AND(Data!#REF!,"AAAAAHl/8RU=")</f>
        <v>#REF!</v>
      </c>
      <c r="W9" t="e">
        <f>AND(Data!#REF!,"AAAAAHl/8RY=")</f>
        <v>#REF!</v>
      </c>
      <c r="X9" t="e">
        <f>AND(Data!#REF!,"AAAAAHl/8Rc=")</f>
        <v>#REF!</v>
      </c>
      <c r="Y9">
        <f>IF(Data!50:50,"AAAAAHl/8Rg=",0)</f>
        <v>0</v>
      </c>
      <c r="Z9" t="e">
        <f>AND(Data!A50,"AAAAAHl/8Rk=")</f>
        <v>#VALUE!</v>
      </c>
      <c r="AA9" t="e">
        <f>AND(Data!B50,"AAAAAHl/8Ro=")</f>
        <v>#VALUE!</v>
      </c>
      <c r="AB9" t="e">
        <f>AND(Data!C50,"AAAAAHl/8Rs=")</f>
        <v>#VALUE!</v>
      </c>
      <c r="AC9" t="e">
        <f>AND(Data!D50,"AAAAAHl/8Rw=")</f>
        <v>#VALUE!</v>
      </c>
      <c r="AD9" t="e">
        <f>AND(Data!E50,"AAAAAHl/8R0=")</f>
        <v>#VALUE!</v>
      </c>
      <c r="AE9" t="e">
        <f>AND(Data!F50,"AAAAAHl/8R4=")</f>
        <v>#VALUE!</v>
      </c>
      <c r="AF9" t="e">
        <f>AND(Data!G50,"AAAAAHl/8R8=")</f>
        <v>#VALUE!</v>
      </c>
      <c r="AG9" t="e">
        <f>AND(Data!H50,"AAAAAHl/8SA=")</f>
        <v>#VALUE!</v>
      </c>
      <c r="AH9" t="e">
        <f>AND(Data!I50,"AAAAAHl/8SE=")</f>
        <v>#VALUE!</v>
      </c>
      <c r="AI9" t="e">
        <f>AND(Data!J50,"AAAAAHl/8SI=")</f>
        <v>#VALUE!</v>
      </c>
      <c r="AJ9" t="e">
        <f>AND(Data!K50,"AAAAAHl/8SM=")</f>
        <v>#VALUE!</v>
      </c>
      <c r="AK9" t="e">
        <f>AND(Data!L50,"AAAAAHl/8SQ=")</f>
        <v>#VALUE!</v>
      </c>
      <c r="AL9" t="e">
        <f>AND(Data!M50,"AAAAAHl/8SU=")</f>
        <v>#VALUE!</v>
      </c>
      <c r="AM9" t="e">
        <f>AND(Data!N50,"AAAAAHl/8SY=")</f>
        <v>#VALUE!</v>
      </c>
      <c r="AN9" t="e">
        <f>AND(Data!O50,"AAAAAHl/8Sc=")</f>
        <v>#VALUE!</v>
      </c>
      <c r="AO9" t="e">
        <f>AND(Data!P50,"AAAAAHl/8Sg=")</f>
        <v>#VALUE!</v>
      </c>
      <c r="AP9" t="e">
        <f>AND(Data!Q50,"AAAAAHl/8Sk=")</f>
        <v>#VALUE!</v>
      </c>
      <c r="AQ9" t="e">
        <f>AND(Data!#REF!,"AAAAAHl/8So=")</f>
        <v>#REF!</v>
      </c>
      <c r="AR9" t="e">
        <f>AND(Data!#REF!,"AAAAAHl/8Ss=")</f>
        <v>#REF!</v>
      </c>
      <c r="AS9" t="e">
        <f>AND(Data!#REF!,"AAAAAHl/8Sw=")</f>
        <v>#REF!</v>
      </c>
      <c r="AT9" t="e">
        <f>AND(Data!#REF!,"AAAAAHl/8S0=")</f>
        <v>#REF!</v>
      </c>
      <c r="AU9" t="e">
        <f>AND(Data!#REF!,"AAAAAHl/8S4=")</f>
        <v>#REF!</v>
      </c>
      <c r="AV9" t="e">
        <f>AND(Data!#REF!,"AAAAAHl/8S8=")</f>
        <v>#REF!</v>
      </c>
      <c r="AW9" t="e">
        <f>AND(Data!#REF!,"AAAAAHl/8TA=")</f>
        <v>#REF!</v>
      </c>
      <c r="AX9" t="e">
        <f>AND(Data!#REF!,"AAAAAHl/8TE=")</f>
        <v>#REF!</v>
      </c>
      <c r="AY9" t="e">
        <f>AND(Data!#REF!,"AAAAAHl/8TI=")</f>
        <v>#REF!</v>
      </c>
      <c r="AZ9" t="e">
        <f>AND(Data!#REF!,"AAAAAHl/8TM=")</f>
        <v>#REF!</v>
      </c>
      <c r="BA9">
        <f>IF(Data!51:51,"AAAAAHl/8TQ=",0)</f>
        <v>0</v>
      </c>
      <c r="BB9" t="e">
        <f>AND(Data!A51,"AAAAAHl/8TU=")</f>
        <v>#VALUE!</v>
      </c>
      <c r="BC9" t="e">
        <f>AND(Data!B51,"AAAAAHl/8TY=")</f>
        <v>#VALUE!</v>
      </c>
      <c r="BD9" t="e">
        <f>AND(Data!C51,"AAAAAHl/8Tc=")</f>
        <v>#VALUE!</v>
      </c>
      <c r="BE9" t="e">
        <f>AND(Data!D51,"AAAAAHl/8Tg=")</f>
        <v>#VALUE!</v>
      </c>
      <c r="BF9" t="e">
        <f>AND(Data!E51,"AAAAAHl/8Tk=")</f>
        <v>#VALUE!</v>
      </c>
      <c r="BG9" t="e">
        <f>AND(Data!F51,"AAAAAHl/8To=")</f>
        <v>#VALUE!</v>
      </c>
      <c r="BH9" t="e">
        <f>AND(Data!G51,"AAAAAHl/8Ts=")</f>
        <v>#VALUE!</v>
      </c>
      <c r="BI9" t="e">
        <f>AND(Data!H51,"AAAAAHl/8Tw=")</f>
        <v>#VALUE!</v>
      </c>
      <c r="BJ9" t="e">
        <f>AND(Data!I51,"AAAAAHl/8T0=")</f>
        <v>#VALUE!</v>
      </c>
      <c r="BK9" t="e">
        <f>AND(Data!J51,"AAAAAHl/8T4=")</f>
        <v>#VALUE!</v>
      </c>
      <c r="BL9" t="e">
        <f>AND(Data!K51,"AAAAAHl/8T8=")</f>
        <v>#VALUE!</v>
      </c>
      <c r="BM9" t="e">
        <f>AND(Data!L51,"AAAAAHl/8UA=")</f>
        <v>#VALUE!</v>
      </c>
      <c r="BN9" t="e">
        <f>AND(Data!M51,"AAAAAHl/8UE=")</f>
        <v>#VALUE!</v>
      </c>
      <c r="BO9" t="e">
        <f>AND(Data!N51,"AAAAAHl/8UI=")</f>
        <v>#VALUE!</v>
      </c>
      <c r="BP9" t="e">
        <f>AND(Data!O51,"AAAAAHl/8UM=")</f>
        <v>#VALUE!</v>
      </c>
      <c r="BQ9" t="e">
        <f>AND(Data!P51,"AAAAAHl/8UQ=")</f>
        <v>#VALUE!</v>
      </c>
      <c r="BR9" t="e">
        <f>AND(Data!Q51,"AAAAAHl/8UU=")</f>
        <v>#VALUE!</v>
      </c>
      <c r="BS9" t="e">
        <f>AND(Data!#REF!,"AAAAAHl/8UY=")</f>
        <v>#REF!</v>
      </c>
      <c r="BT9" t="e">
        <f>AND(Data!#REF!,"AAAAAHl/8Uc=")</f>
        <v>#REF!</v>
      </c>
      <c r="BU9" t="e">
        <f>AND(Data!#REF!,"AAAAAHl/8Ug=")</f>
        <v>#REF!</v>
      </c>
      <c r="BV9" t="e">
        <f>AND(Data!#REF!,"AAAAAHl/8Uk=")</f>
        <v>#REF!</v>
      </c>
      <c r="BW9" t="e">
        <f>AND(Data!#REF!,"AAAAAHl/8Uo=")</f>
        <v>#REF!</v>
      </c>
      <c r="BX9" t="e">
        <f>AND(Data!#REF!,"AAAAAHl/8Us=")</f>
        <v>#REF!</v>
      </c>
      <c r="BY9" t="e">
        <f>AND(Data!#REF!,"AAAAAHl/8Uw=")</f>
        <v>#REF!</v>
      </c>
      <c r="BZ9" t="e">
        <f>AND(Data!#REF!,"AAAAAHl/8U0=")</f>
        <v>#REF!</v>
      </c>
      <c r="CA9" t="e">
        <f>AND(Data!#REF!,"AAAAAHl/8U4=")</f>
        <v>#REF!</v>
      </c>
      <c r="CB9" t="e">
        <f>AND(Data!#REF!,"AAAAAHl/8U8=")</f>
        <v>#REF!</v>
      </c>
      <c r="CC9">
        <f>IF(Data!52:52,"AAAAAHl/8VA=",0)</f>
        <v>0</v>
      </c>
      <c r="CD9" t="e">
        <f>AND(Data!A52,"AAAAAHl/8VE=")</f>
        <v>#VALUE!</v>
      </c>
      <c r="CE9" t="e">
        <f>AND(Data!B52,"AAAAAHl/8VI=")</f>
        <v>#VALUE!</v>
      </c>
      <c r="CF9" t="e">
        <f>AND(Data!C52,"AAAAAHl/8VM=")</f>
        <v>#VALUE!</v>
      </c>
      <c r="CG9" t="e">
        <f>AND(Data!D52,"AAAAAHl/8VQ=")</f>
        <v>#VALUE!</v>
      </c>
      <c r="CH9" t="e">
        <f>AND(Data!E52,"AAAAAHl/8VU=")</f>
        <v>#VALUE!</v>
      </c>
      <c r="CI9" t="e">
        <f>AND(Data!F52,"AAAAAHl/8VY=")</f>
        <v>#VALUE!</v>
      </c>
      <c r="CJ9" t="e">
        <f>AND(Data!G52,"AAAAAHl/8Vc=")</f>
        <v>#VALUE!</v>
      </c>
      <c r="CK9" t="e">
        <f>AND(Data!H52,"AAAAAHl/8Vg=")</f>
        <v>#VALUE!</v>
      </c>
      <c r="CL9" t="e">
        <f>AND(Data!I52,"AAAAAHl/8Vk=")</f>
        <v>#VALUE!</v>
      </c>
      <c r="CM9" t="e">
        <f>AND(Data!J52,"AAAAAHl/8Vo=")</f>
        <v>#VALUE!</v>
      </c>
      <c r="CN9" t="e">
        <f>AND(Data!K52,"AAAAAHl/8Vs=")</f>
        <v>#VALUE!</v>
      </c>
      <c r="CO9" t="e">
        <f>AND(Data!L52,"AAAAAHl/8Vw=")</f>
        <v>#VALUE!</v>
      </c>
      <c r="CP9" t="e">
        <f>AND(Data!M52,"AAAAAHl/8V0=")</f>
        <v>#VALUE!</v>
      </c>
      <c r="CQ9" t="e">
        <f>AND(Data!N52,"AAAAAHl/8V4=")</f>
        <v>#VALUE!</v>
      </c>
      <c r="CR9" t="e">
        <f>AND(Data!O52,"AAAAAHl/8V8=")</f>
        <v>#VALUE!</v>
      </c>
      <c r="CS9" t="e">
        <f>AND(Data!P52,"AAAAAHl/8WA=")</f>
        <v>#VALUE!</v>
      </c>
      <c r="CT9" t="e">
        <f>AND(Data!Q52,"AAAAAHl/8WE=")</f>
        <v>#VALUE!</v>
      </c>
      <c r="CU9" t="e">
        <f>AND(Data!#REF!,"AAAAAHl/8WI=")</f>
        <v>#REF!</v>
      </c>
      <c r="CV9" t="e">
        <f>AND(Data!#REF!,"AAAAAHl/8WM=")</f>
        <v>#REF!</v>
      </c>
      <c r="CW9" t="e">
        <f>AND(Data!#REF!,"AAAAAHl/8WQ=")</f>
        <v>#REF!</v>
      </c>
      <c r="CX9" t="e">
        <f>AND(Data!#REF!,"AAAAAHl/8WU=")</f>
        <v>#REF!</v>
      </c>
      <c r="CY9" t="e">
        <f>AND(Data!#REF!,"AAAAAHl/8WY=")</f>
        <v>#REF!</v>
      </c>
      <c r="CZ9" t="e">
        <f>AND(Data!#REF!,"AAAAAHl/8Wc=")</f>
        <v>#REF!</v>
      </c>
      <c r="DA9" t="e">
        <f>AND(Data!#REF!,"AAAAAHl/8Wg=")</f>
        <v>#REF!</v>
      </c>
      <c r="DB9" t="e">
        <f>AND(Data!#REF!,"AAAAAHl/8Wk=")</f>
        <v>#REF!</v>
      </c>
      <c r="DC9" t="e">
        <f>AND(Data!#REF!,"AAAAAHl/8Wo=")</f>
        <v>#REF!</v>
      </c>
      <c r="DD9" t="e">
        <f>AND(Data!#REF!,"AAAAAHl/8Ws=")</f>
        <v>#REF!</v>
      </c>
      <c r="DE9">
        <f>IF(Data!53:53,"AAAAAHl/8Ww=",0)</f>
        <v>0</v>
      </c>
      <c r="DF9" t="e">
        <f>AND(Data!A53,"AAAAAHl/8W0=")</f>
        <v>#VALUE!</v>
      </c>
      <c r="DG9" t="e">
        <f>AND(Data!B53,"AAAAAHl/8W4=")</f>
        <v>#VALUE!</v>
      </c>
      <c r="DH9" t="e">
        <f>AND(Data!C53,"AAAAAHl/8W8=")</f>
        <v>#VALUE!</v>
      </c>
      <c r="DI9" t="e">
        <f>AND(Data!D53,"AAAAAHl/8XA=")</f>
        <v>#VALUE!</v>
      </c>
      <c r="DJ9" t="e">
        <f>AND(Data!E53,"AAAAAHl/8XE=")</f>
        <v>#VALUE!</v>
      </c>
      <c r="DK9" t="e">
        <f>AND(Data!F53,"AAAAAHl/8XI=")</f>
        <v>#VALUE!</v>
      </c>
      <c r="DL9" t="e">
        <f>AND(Data!G53,"AAAAAHl/8XM=")</f>
        <v>#VALUE!</v>
      </c>
      <c r="DM9" t="e">
        <f>AND(Data!H53,"AAAAAHl/8XQ=")</f>
        <v>#VALUE!</v>
      </c>
      <c r="DN9" t="e">
        <f>AND(Data!I53,"AAAAAHl/8XU=")</f>
        <v>#VALUE!</v>
      </c>
      <c r="DO9" t="e">
        <f>AND(Data!J53,"AAAAAHl/8XY=")</f>
        <v>#VALUE!</v>
      </c>
      <c r="DP9" t="e">
        <f>AND(Data!K53,"AAAAAHl/8Xc=")</f>
        <v>#VALUE!</v>
      </c>
      <c r="DQ9" t="e">
        <f>AND(Data!L53,"AAAAAHl/8Xg=")</f>
        <v>#VALUE!</v>
      </c>
      <c r="DR9" t="e">
        <f>AND(Data!M53,"AAAAAHl/8Xk=")</f>
        <v>#VALUE!</v>
      </c>
      <c r="DS9" t="e">
        <f>AND(Data!N53,"AAAAAHl/8Xo=")</f>
        <v>#VALUE!</v>
      </c>
      <c r="DT9" t="e">
        <f>AND(Data!O53,"AAAAAHl/8Xs=")</f>
        <v>#VALUE!</v>
      </c>
      <c r="DU9" t="e">
        <f>AND(Data!P53,"AAAAAHl/8Xw=")</f>
        <v>#VALUE!</v>
      </c>
      <c r="DV9" t="e">
        <f>AND(Data!Q53,"AAAAAHl/8X0=")</f>
        <v>#VALUE!</v>
      </c>
      <c r="DW9" t="e">
        <f>AND(Data!#REF!,"AAAAAHl/8X4=")</f>
        <v>#REF!</v>
      </c>
      <c r="DX9" t="e">
        <f>AND(Data!#REF!,"AAAAAHl/8X8=")</f>
        <v>#REF!</v>
      </c>
      <c r="DY9" t="e">
        <f>AND(Data!#REF!,"AAAAAHl/8YA=")</f>
        <v>#REF!</v>
      </c>
      <c r="DZ9" t="e">
        <f>AND(Data!#REF!,"AAAAAHl/8YE=")</f>
        <v>#REF!</v>
      </c>
      <c r="EA9" t="e">
        <f>AND(Data!#REF!,"AAAAAHl/8YI=")</f>
        <v>#REF!</v>
      </c>
      <c r="EB9" t="e">
        <f>AND(Data!#REF!,"AAAAAHl/8YM=")</f>
        <v>#REF!</v>
      </c>
      <c r="EC9" t="e">
        <f>AND(Data!#REF!,"AAAAAHl/8YQ=")</f>
        <v>#REF!</v>
      </c>
      <c r="ED9" t="e">
        <f>AND(Data!#REF!,"AAAAAHl/8YU=")</f>
        <v>#REF!</v>
      </c>
      <c r="EE9" t="e">
        <f>AND(Data!#REF!,"AAAAAHl/8YY=")</f>
        <v>#REF!</v>
      </c>
      <c r="EF9" t="e">
        <f>AND(Data!#REF!,"AAAAAHl/8Yc=")</f>
        <v>#REF!</v>
      </c>
      <c r="EG9">
        <f>IF(Data!54:54,"AAAAAHl/8Yg=",0)</f>
        <v>0</v>
      </c>
      <c r="EH9" t="e">
        <f>AND(Data!A54,"AAAAAHl/8Yk=")</f>
        <v>#VALUE!</v>
      </c>
      <c r="EI9" t="e">
        <f>AND(Data!B54,"AAAAAHl/8Yo=")</f>
        <v>#VALUE!</v>
      </c>
      <c r="EJ9" t="e">
        <f>AND(Data!C54,"AAAAAHl/8Ys=")</f>
        <v>#VALUE!</v>
      </c>
      <c r="EK9" t="e">
        <f>AND(Data!D54,"AAAAAHl/8Yw=")</f>
        <v>#VALUE!</v>
      </c>
      <c r="EL9" t="e">
        <f>AND(Data!E54,"AAAAAHl/8Y0=")</f>
        <v>#VALUE!</v>
      </c>
      <c r="EM9" t="e">
        <f>AND(Data!F54,"AAAAAHl/8Y4=")</f>
        <v>#VALUE!</v>
      </c>
      <c r="EN9" t="e">
        <f>AND(Data!G54,"AAAAAHl/8Y8=")</f>
        <v>#VALUE!</v>
      </c>
      <c r="EO9" t="e">
        <f>AND(Data!H54,"AAAAAHl/8ZA=")</f>
        <v>#VALUE!</v>
      </c>
      <c r="EP9" t="e">
        <f>AND(Data!I54,"AAAAAHl/8ZE=")</f>
        <v>#VALUE!</v>
      </c>
      <c r="EQ9" t="e">
        <f>AND(Data!J54,"AAAAAHl/8ZI=")</f>
        <v>#VALUE!</v>
      </c>
      <c r="ER9" t="e">
        <f>AND(Data!K54,"AAAAAHl/8ZM=")</f>
        <v>#VALUE!</v>
      </c>
      <c r="ES9" t="e">
        <f>AND(Data!L54,"AAAAAHl/8ZQ=")</f>
        <v>#VALUE!</v>
      </c>
      <c r="ET9" t="e">
        <f>AND(Data!M54,"AAAAAHl/8ZU=")</f>
        <v>#VALUE!</v>
      </c>
      <c r="EU9" t="e">
        <f>AND(Data!N54,"AAAAAHl/8ZY=")</f>
        <v>#VALUE!</v>
      </c>
      <c r="EV9" t="e">
        <f>AND(Data!O54,"AAAAAHl/8Zc=")</f>
        <v>#VALUE!</v>
      </c>
      <c r="EW9" t="e">
        <f>AND(Data!P54,"AAAAAHl/8Zg=")</f>
        <v>#VALUE!</v>
      </c>
      <c r="EX9" t="e">
        <f>AND(Data!Q54,"AAAAAHl/8Zk=")</f>
        <v>#VALUE!</v>
      </c>
      <c r="EY9" t="e">
        <f>AND(Data!#REF!,"AAAAAHl/8Zo=")</f>
        <v>#REF!</v>
      </c>
      <c r="EZ9" t="e">
        <f>AND(Data!#REF!,"AAAAAHl/8Zs=")</f>
        <v>#REF!</v>
      </c>
      <c r="FA9" t="e">
        <f>AND(Data!#REF!,"AAAAAHl/8Zw=")</f>
        <v>#REF!</v>
      </c>
      <c r="FB9" t="e">
        <f>AND(Data!#REF!,"AAAAAHl/8Z0=")</f>
        <v>#REF!</v>
      </c>
      <c r="FC9" t="e">
        <f>AND(Data!#REF!,"AAAAAHl/8Z4=")</f>
        <v>#REF!</v>
      </c>
      <c r="FD9" t="e">
        <f>AND(Data!#REF!,"AAAAAHl/8Z8=")</f>
        <v>#REF!</v>
      </c>
      <c r="FE9" t="e">
        <f>AND(Data!#REF!,"AAAAAHl/8aA=")</f>
        <v>#REF!</v>
      </c>
      <c r="FF9" t="e">
        <f>AND(Data!#REF!,"AAAAAHl/8aE=")</f>
        <v>#REF!</v>
      </c>
      <c r="FG9" t="e">
        <f>AND(Data!#REF!,"AAAAAHl/8aI=")</f>
        <v>#REF!</v>
      </c>
      <c r="FH9" t="e">
        <f>AND(Data!#REF!,"AAAAAHl/8aM=")</f>
        <v>#REF!</v>
      </c>
      <c r="FI9">
        <f>IF(Data!55:55,"AAAAAHl/8aQ=",0)</f>
        <v>0</v>
      </c>
      <c r="FJ9" t="e">
        <f>AND(Data!A55,"AAAAAHl/8aU=")</f>
        <v>#VALUE!</v>
      </c>
      <c r="FK9" t="e">
        <f>AND(Data!B55,"AAAAAHl/8aY=")</f>
        <v>#VALUE!</v>
      </c>
      <c r="FL9" t="e">
        <f>AND(Data!C55,"AAAAAHl/8ac=")</f>
        <v>#VALUE!</v>
      </c>
      <c r="FM9" t="e">
        <f>AND(Data!D55,"AAAAAHl/8ag=")</f>
        <v>#VALUE!</v>
      </c>
      <c r="FN9" t="e">
        <f>AND(Data!E55,"AAAAAHl/8ak=")</f>
        <v>#VALUE!</v>
      </c>
      <c r="FO9" t="e">
        <f>AND(Data!F55,"AAAAAHl/8ao=")</f>
        <v>#VALUE!</v>
      </c>
      <c r="FP9" t="e">
        <f>AND(Data!G55,"AAAAAHl/8as=")</f>
        <v>#VALUE!</v>
      </c>
      <c r="FQ9" t="e">
        <f>AND(Data!H55,"AAAAAHl/8aw=")</f>
        <v>#VALUE!</v>
      </c>
      <c r="FR9" t="e">
        <f>AND(Data!I55,"AAAAAHl/8a0=")</f>
        <v>#VALUE!</v>
      </c>
      <c r="FS9" t="e">
        <f>AND(Data!J55,"AAAAAHl/8a4=")</f>
        <v>#VALUE!</v>
      </c>
      <c r="FT9" t="e">
        <f>AND(Data!K55,"AAAAAHl/8a8=")</f>
        <v>#VALUE!</v>
      </c>
      <c r="FU9" t="e">
        <f>AND(Data!L55,"AAAAAHl/8bA=")</f>
        <v>#VALUE!</v>
      </c>
      <c r="FV9" t="e">
        <f>AND(Data!M55,"AAAAAHl/8bE=")</f>
        <v>#VALUE!</v>
      </c>
      <c r="FW9" t="e">
        <f>AND(Data!N55,"AAAAAHl/8bI=")</f>
        <v>#VALUE!</v>
      </c>
      <c r="FX9" t="e">
        <f>AND(Data!O55,"AAAAAHl/8bM=")</f>
        <v>#VALUE!</v>
      </c>
      <c r="FY9" t="e">
        <f>AND(Data!P55,"AAAAAHl/8bQ=")</f>
        <v>#VALUE!</v>
      </c>
      <c r="FZ9" t="e">
        <f>AND(Data!Q55,"AAAAAHl/8bU=")</f>
        <v>#VALUE!</v>
      </c>
      <c r="GA9" t="e">
        <f>AND(Data!#REF!,"AAAAAHl/8bY=")</f>
        <v>#REF!</v>
      </c>
      <c r="GB9" t="e">
        <f>AND(Data!#REF!,"AAAAAHl/8bc=")</f>
        <v>#REF!</v>
      </c>
      <c r="GC9" t="e">
        <f>AND(Data!#REF!,"AAAAAHl/8bg=")</f>
        <v>#REF!</v>
      </c>
      <c r="GD9" t="e">
        <f>AND(Data!#REF!,"AAAAAHl/8bk=")</f>
        <v>#REF!</v>
      </c>
      <c r="GE9" t="e">
        <f>AND(Data!#REF!,"AAAAAHl/8bo=")</f>
        <v>#REF!</v>
      </c>
      <c r="GF9" t="e">
        <f>AND(Data!#REF!,"AAAAAHl/8bs=")</f>
        <v>#REF!</v>
      </c>
      <c r="GG9" t="e">
        <f>AND(Data!#REF!,"AAAAAHl/8bw=")</f>
        <v>#REF!</v>
      </c>
      <c r="GH9" t="e">
        <f>AND(Data!#REF!,"AAAAAHl/8b0=")</f>
        <v>#REF!</v>
      </c>
      <c r="GI9" t="e">
        <f>AND(Data!#REF!,"AAAAAHl/8b4=")</f>
        <v>#REF!</v>
      </c>
      <c r="GJ9" t="e">
        <f>AND(Data!#REF!,"AAAAAHl/8b8=")</f>
        <v>#REF!</v>
      </c>
      <c r="GK9">
        <f>IF(Data!56:56,"AAAAAHl/8cA=",0)</f>
        <v>0</v>
      </c>
      <c r="GL9" t="e">
        <f>AND(Data!A56,"AAAAAHl/8cE=")</f>
        <v>#VALUE!</v>
      </c>
      <c r="GM9" t="e">
        <f>AND(Data!B56,"AAAAAHl/8cI=")</f>
        <v>#VALUE!</v>
      </c>
      <c r="GN9" t="e">
        <f>AND(Data!C56,"AAAAAHl/8cM=")</f>
        <v>#VALUE!</v>
      </c>
      <c r="GO9" t="e">
        <f>AND(Data!D56,"AAAAAHl/8cQ=")</f>
        <v>#VALUE!</v>
      </c>
      <c r="GP9" t="e">
        <f>AND(Data!E56,"AAAAAHl/8cU=")</f>
        <v>#VALUE!</v>
      </c>
      <c r="GQ9" t="e">
        <f>AND(Data!F56,"AAAAAHl/8cY=")</f>
        <v>#VALUE!</v>
      </c>
      <c r="GR9" t="e">
        <f>AND(Data!G56,"AAAAAHl/8cc=")</f>
        <v>#VALUE!</v>
      </c>
      <c r="GS9" t="e">
        <f>AND(Data!H56,"AAAAAHl/8cg=")</f>
        <v>#VALUE!</v>
      </c>
      <c r="GT9" t="e">
        <f>AND(Data!I56,"AAAAAHl/8ck=")</f>
        <v>#VALUE!</v>
      </c>
      <c r="GU9" t="e">
        <f>AND(Data!J56,"AAAAAHl/8co=")</f>
        <v>#VALUE!</v>
      </c>
      <c r="GV9" t="e">
        <f>AND(Data!K56,"AAAAAHl/8cs=")</f>
        <v>#VALUE!</v>
      </c>
      <c r="GW9" t="e">
        <f>AND(Data!L56,"AAAAAHl/8cw=")</f>
        <v>#VALUE!</v>
      </c>
      <c r="GX9" t="e">
        <f>AND(Data!M56,"AAAAAHl/8c0=")</f>
        <v>#VALUE!</v>
      </c>
      <c r="GY9" t="e">
        <f>AND(Data!N56,"AAAAAHl/8c4=")</f>
        <v>#VALUE!</v>
      </c>
      <c r="GZ9" t="e">
        <f>AND(Data!O56,"AAAAAHl/8c8=")</f>
        <v>#VALUE!</v>
      </c>
      <c r="HA9" t="e">
        <f>AND(Data!P56,"AAAAAHl/8dA=")</f>
        <v>#VALUE!</v>
      </c>
      <c r="HB9" t="e">
        <f>AND(Data!Q56,"AAAAAHl/8dE=")</f>
        <v>#VALUE!</v>
      </c>
      <c r="HC9" t="e">
        <f>AND(Data!#REF!,"AAAAAHl/8dI=")</f>
        <v>#REF!</v>
      </c>
      <c r="HD9" t="e">
        <f>AND(Data!#REF!,"AAAAAHl/8dM=")</f>
        <v>#REF!</v>
      </c>
      <c r="HE9" t="e">
        <f>AND(Data!#REF!,"AAAAAHl/8dQ=")</f>
        <v>#REF!</v>
      </c>
      <c r="HF9" t="e">
        <f>AND(Data!#REF!,"AAAAAHl/8dU=")</f>
        <v>#REF!</v>
      </c>
      <c r="HG9" t="e">
        <f>AND(Data!#REF!,"AAAAAHl/8dY=")</f>
        <v>#REF!</v>
      </c>
      <c r="HH9" t="e">
        <f>AND(Data!#REF!,"AAAAAHl/8dc=")</f>
        <v>#REF!</v>
      </c>
      <c r="HI9" t="e">
        <f>AND(Data!#REF!,"AAAAAHl/8dg=")</f>
        <v>#REF!</v>
      </c>
      <c r="HJ9" t="e">
        <f>AND(Data!#REF!,"AAAAAHl/8dk=")</f>
        <v>#REF!</v>
      </c>
      <c r="HK9" t="e">
        <f>AND(Data!#REF!,"AAAAAHl/8do=")</f>
        <v>#REF!</v>
      </c>
      <c r="HL9" t="e">
        <f>AND(Data!#REF!,"AAAAAHl/8ds=")</f>
        <v>#REF!</v>
      </c>
      <c r="HM9">
        <f>IF(Data!57:57,"AAAAAHl/8dw=",0)</f>
        <v>0</v>
      </c>
      <c r="HN9" t="e">
        <f>AND(Data!A57,"AAAAAHl/8d0=")</f>
        <v>#VALUE!</v>
      </c>
      <c r="HO9" t="e">
        <f>AND(Data!B57,"AAAAAHl/8d4=")</f>
        <v>#VALUE!</v>
      </c>
      <c r="HP9" t="e">
        <f>AND(Data!C57,"AAAAAHl/8d8=")</f>
        <v>#VALUE!</v>
      </c>
      <c r="HQ9" t="e">
        <f>AND(Data!D57,"AAAAAHl/8eA=")</f>
        <v>#VALUE!</v>
      </c>
      <c r="HR9" t="e">
        <f>AND(Data!E57,"AAAAAHl/8eE=")</f>
        <v>#VALUE!</v>
      </c>
      <c r="HS9" t="e">
        <f>AND(Data!F57,"AAAAAHl/8eI=")</f>
        <v>#VALUE!</v>
      </c>
      <c r="HT9" t="e">
        <f>AND(Data!G57,"AAAAAHl/8eM=")</f>
        <v>#VALUE!</v>
      </c>
      <c r="HU9" t="e">
        <f>AND(Data!H57,"AAAAAHl/8eQ=")</f>
        <v>#VALUE!</v>
      </c>
      <c r="HV9" t="e">
        <f>AND(Data!I57,"AAAAAHl/8eU=")</f>
        <v>#VALUE!</v>
      </c>
      <c r="HW9" t="e">
        <f>AND(Data!J57,"AAAAAHl/8eY=")</f>
        <v>#VALUE!</v>
      </c>
      <c r="HX9" t="e">
        <f>AND(Data!K57,"AAAAAHl/8ec=")</f>
        <v>#VALUE!</v>
      </c>
      <c r="HY9" t="e">
        <f>AND(Data!L57,"AAAAAHl/8eg=")</f>
        <v>#VALUE!</v>
      </c>
      <c r="HZ9" t="e">
        <f>AND(Data!M57,"AAAAAHl/8ek=")</f>
        <v>#VALUE!</v>
      </c>
      <c r="IA9" t="e">
        <f>AND(Data!N57,"AAAAAHl/8eo=")</f>
        <v>#VALUE!</v>
      </c>
      <c r="IB9" t="e">
        <f>AND(Data!O57,"AAAAAHl/8es=")</f>
        <v>#VALUE!</v>
      </c>
      <c r="IC9" t="e">
        <f>AND(Data!P57,"AAAAAHl/8ew=")</f>
        <v>#VALUE!</v>
      </c>
      <c r="ID9" t="e">
        <f>AND(Data!Q57,"AAAAAHl/8e0=")</f>
        <v>#VALUE!</v>
      </c>
      <c r="IE9" t="e">
        <f>AND(Data!#REF!,"AAAAAHl/8e4=")</f>
        <v>#REF!</v>
      </c>
      <c r="IF9" t="e">
        <f>AND(Data!#REF!,"AAAAAHl/8e8=")</f>
        <v>#REF!</v>
      </c>
      <c r="IG9" t="e">
        <f>AND(Data!#REF!,"AAAAAHl/8fA=")</f>
        <v>#REF!</v>
      </c>
      <c r="IH9" t="e">
        <f>AND(Data!#REF!,"AAAAAHl/8fE=")</f>
        <v>#REF!</v>
      </c>
      <c r="II9" t="e">
        <f>AND(Data!#REF!,"AAAAAHl/8fI=")</f>
        <v>#REF!</v>
      </c>
      <c r="IJ9" t="e">
        <f>AND(Data!#REF!,"AAAAAHl/8fM=")</f>
        <v>#REF!</v>
      </c>
      <c r="IK9" t="e">
        <f>AND(Data!#REF!,"AAAAAHl/8fQ=")</f>
        <v>#REF!</v>
      </c>
      <c r="IL9" t="e">
        <f>AND(Data!#REF!,"AAAAAHl/8fU=")</f>
        <v>#REF!</v>
      </c>
      <c r="IM9" t="e">
        <f>AND(Data!#REF!,"AAAAAHl/8fY=")</f>
        <v>#REF!</v>
      </c>
      <c r="IN9" t="e">
        <f>AND(Data!#REF!,"AAAAAHl/8fc=")</f>
        <v>#REF!</v>
      </c>
      <c r="IO9">
        <f>IF(Data!58:58,"AAAAAHl/8fg=",0)</f>
        <v>0</v>
      </c>
      <c r="IP9" t="e">
        <f>AND(Data!A58,"AAAAAHl/8fk=")</f>
        <v>#VALUE!</v>
      </c>
      <c r="IQ9" t="e">
        <f>AND(Data!B58,"AAAAAHl/8fo=")</f>
        <v>#VALUE!</v>
      </c>
      <c r="IR9" t="e">
        <f>AND(Data!C58,"AAAAAHl/8fs=")</f>
        <v>#VALUE!</v>
      </c>
      <c r="IS9" t="e">
        <f>AND(Data!D58,"AAAAAHl/8fw=")</f>
        <v>#VALUE!</v>
      </c>
      <c r="IT9" t="e">
        <f>AND(Data!E58,"AAAAAHl/8f0=")</f>
        <v>#VALUE!</v>
      </c>
      <c r="IU9" t="e">
        <f>AND(Data!F58,"AAAAAHl/8f4=")</f>
        <v>#VALUE!</v>
      </c>
      <c r="IV9" t="e">
        <f>AND(Data!G58,"AAAAAHl/8f8=")</f>
        <v>#VALUE!</v>
      </c>
    </row>
    <row r="10" spans="1:256">
      <c r="A10" t="e">
        <f>AND(Data!H58,"AAAAACS/fwA=")</f>
        <v>#VALUE!</v>
      </c>
      <c r="B10" t="e">
        <f>AND(Data!I58,"AAAAACS/fwE=")</f>
        <v>#VALUE!</v>
      </c>
      <c r="C10" t="e">
        <f>AND(Data!J58,"AAAAACS/fwI=")</f>
        <v>#VALUE!</v>
      </c>
      <c r="D10" t="e">
        <f>AND(Data!K58,"AAAAACS/fwM=")</f>
        <v>#VALUE!</v>
      </c>
      <c r="E10" t="e">
        <f>AND(Data!L58,"AAAAACS/fwQ=")</f>
        <v>#VALUE!</v>
      </c>
      <c r="F10" t="e">
        <f>AND(Data!M58,"AAAAACS/fwU=")</f>
        <v>#VALUE!</v>
      </c>
      <c r="G10" t="e">
        <f>AND(Data!N58,"AAAAACS/fwY=")</f>
        <v>#VALUE!</v>
      </c>
      <c r="H10" t="e">
        <f>AND(Data!O58,"AAAAACS/fwc=")</f>
        <v>#VALUE!</v>
      </c>
      <c r="I10" t="e">
        <f>AND(Data!P58,"AAAAACS/fwg=")</f>
        <v>#VALUE!</v>
      </c>
      <c r="J10" t="e">
        <f>AND(Data!Q58,"AAAAACS/fwk=")</f>
        <v>#VALUE!</v>
      </c>
      <c r="K10" t="e">
        <f>AND(Data!#REF!,"AAAAACS/fwo=")</f>
        <v>#REF!</v>
      </c>
      <c r="L10" t="e">
        <f>AND(Data!#REF!,"AAAAACS/fws=")</f>
        <v>#REF!</v>
      </c>
      <c r="M10" t="e">
        <f>AND(Data!#REF!,"AAAAACS/fww=")</f>
        <v>#REF!</v>
      </c>
      <c r="N10" t="e">
        <f>AND(Data!#REF!,"AAAAACS/fw0=")</f>
        <v>#REF!</v>
      </c>
      <c r="O10" t="e">
        <f>AND(Data!#REF!,"AAAAACS/fw4=")</f>
        <v>#REF!</v>
      </c>
      <c r="P10" t="e">
        <f>AND(Data!#REF!,"AAAAACS/fw8=")</f>
        <v>#REF!</v>
      </c>
      <c r="Q10" t="e">
        <f>AND(Data!#REF!,"AAAAACS/fxA=")</f>
        <v>#REF!</v>
      </c>
      <c r="R10" t="e">
        <f>AND(Data!#REF!,"AAAAACS/fxE=")</f>
        <v>#REF!</v>
      </c>
      <c r="S10" t="e">
        <f>AND(Data!#REF!,"AAAAACS/fxI=")</f>
        <v>#REF!</v>
      </c>
      <c r="T10" t="e">
        <f>AND(Data!#REF!,"AAAAACS/fxM=")</f>
        <v>#REF!</v>
      </c>
      <c r="U10">
        <f>IF(Data!59:59,"AAAAACS/fxQ=",0)</f>
        <v>0</v>
      </c>
      <c r="V10" t="e">
        <f>AND(Data!A59,"AAAAACS/fxU=")</f>
        <v>#VALUE!</v>
      </c>
      <c r="W10" t="e">
        <f>AND(Data!B59,"AAAAACS/fxY=")</f>
        <v>#VALUE!</v>
      </c>
      <c r="X10" t="e">
        <f>AND(Data!C59,"AAAAACS/fxc=")</f>
        <v>#VALUE!</v>
      </c>
      <c r="Y10" t="e">
        <f>AND(Data!D59,"AAAAACS/fxg=")</f>
        <v>#VALUE!</v>
      </c>
      <c r="Z10" t="e">
        <f>AND(Data!E59,"AAAAACS/fxk=")</f>
        <v>#VALUE!</v>
      </c>
      <c r="AA10" t="e">
        <f>AND(Data!F59,"AAAAACS/fxo=")</f>
        <v>#VALUE!</v>
      </c>
      <c r="AB10" t="e">
        <f>AND(Data!G59,"AAAAACS/fxs=")</f>
        <v>#VALUE!</v>
      </c>
      <c r="AC10" t="e">
        <f>AND(Data!H59,"AAAAACS/fxw=")</f>
        <v>#VALUE!</v>
      </c>
      <c r="AD10" t="e">
        <f>AND(Data!I59,"AAAAACS/fx0=")</f>
        <v>#VALUE!</v>
      </c>
      <c r="AE10" t="e">
        <f>AND(Data!J59,"AAAAACS/fx4=")</f>
        <v>#VALUE!</v>
      </c>
      <c r="AF10" t="e">
        <f>AND(Data!K59,"AAAAACS/fx8=")</f>
        <v>#VALUE!</v>
      </c>
      <c r="AG10" t="e">
        <f>AND(Data!L59,"AAAAACS/fyA=")</f>
        <v>#VALUE!</v>
      </c>
      <c r="AH10" t="e">
        <f>AND(Data!M59,"AAAAACS/fyE=")</f>
        <v>#VALUE!</v>
      </c>
      <c r="AI10" t="e">
        <f>AND(Data!N59,"AAAAACS/fyI=")</f>
        <v>#VALUE!</v>
      </c>
      <c r="AJ10" t="e">
        <f>AND(Data!O59,"AAAAACS/fyM=")</f>
        <v>#VALUE!</v>
      </c>
      <c r="AK10" t="e">
        <f>AND(Data!P59,"AAAAACS/fyQ=")</f>
        <v>#VALUE!</v>
      </c>
      <c r="AL10" t="e">
        <f>AND(Data!Q59,"AAAAACS/fyU=")</f>
        <v>#VALUE!</v>
      </c>
      <c r="AM10" t="e">
        <f>AND(Data!#REF!,"AAAAACS/fyY=")</f>
        <v>#REF!</v>
      </c>
      <c r="AN10" t="e">
        <f>AND(Data!#REF!,"AAAAACS/fyc=")</f>
        <v>#REF!</v>
      </c>
      <c r="AO10" t="e">
        <f>AND(Data!#REF!,"AAAAACS/fyg=")</f>
        <v>#REF!</v>
      </c>
      <c r="AP10" t="e">
        <f>AND(Data!#REF!,"AAAAACS/fyk=")</f>
        <v>#REF!</v>
      </c>
      <c r="AQ10" t="e">
        <f>AND(Data!#REF!,"AAAAACS/fyo=")</f>
        <v>#REF!</v>
      </c>
      <c r="AR10" t="e">
        <f>AND(Data!#REF!,"AAAAACS/fys=")</f>
        <v>#REF!</v>
      </c>
      <c r="AS10" t="e">
        <f>AND(Data!#REF!,"AAAAACS/fyw=")</f>
        <v>#REF!</v>
      </c>
      <c r="AT10" t="e">
        <f>AND(Data!#REF!,"AAAAACS/fy0=")</f>
        <v>#REF!</v>
      </c>
      <c r="AU10" t="e">
        <f>AND(Data!#REF!,"AAAAACS/fy4=")</f>
        <v>#REF!</v>
      </c>
      <c r="AV10" t="e">
        <f>AND(Data!#REF!,"AAAAACS/fy8=")</f>
        <v>#REF!</v>
      </c>
      <c r="AW10">
        <f>IF(Data!60:60,"AAAAACS/fzA=",0)</f>
        <v>0</v>
      </c>
      <c r="AX10" t="e">
        <f>AND(Data!A60,"AAAAACS/fzE=")</f>
        <v>#VALUE!</v>
      </c>
      <c r="AY10" t="e">
        <f>AND(Data!B60,"AAAAACS/fzI=")</f>
        <v>#VALUE!</v>
      </c>
      <c r="AZ10" t="e">
        <f>AND(Data!C60,"AAAAACS/fzM=")</f>
        <v>#VALUE!</v>
      </c>
      <c r="BA10" t="e">
        <f>AND(Data!D60,"AAAAACS/fzQ=")</f>
        <v>#VALUE!</v>
      </c>
      <c r="BB10" t="e">
        <f>AND(Data!E60,"AAAAACS/fzU=")</f>
        <v>#VALUE!</v>
      </c>
      <c r="BC10" t="e">
        <f>AND(Data!F60,"AAAAACS/fzY=")</f>
        <v>#VALUE!</v>
      </c>
      <c r="BD10" t="e">
        <f>AND(Data!G60,"AAAAACS/fzc=")</f>
        <v>#VALUE!</v>
      </c>
      <c r="BE10" t="e">
        <f>AND(Data!H60,"AAAAACS/fzg=")</f>
        <v>#VALUE!</v>
      </c>
      <c r="BF10" t="e">
        <f>AND(Data!I60,"AAAAACS/fzk=")</f>
        <v>#VALUE!</v>
      </c>
      <c r="BG10" t="e">
        <f>AND(Data!J60,"AAAAACS/fzo=")</f>
        <v>#VALUE!</v>
      </c>
      <c r="BH10" t="e">
        <f>AND(Data!K60,"AAAAACS/fzs=")</f>
        <v>#VALUE!</v>
      </c>
      <c r="BI10" t="e">
        <f>AND(Data!L60,"AAAAACS/fzw=")</f>
        <v>#VALUE!</v>
      </c>
      <c r="BJ10" t="e">
        <f>AND(Data!M60,"AAAAACS/fz0=")</f>
        <v>#VALUE!</v>
      </c>
      <c r="BK10" t="e">
        <f>AND(Data!N60,"AAAAACS/fz4=")</f>
        <v>#VALUE!</v>
      </c>
      <c r="BL10" t="e">
        <f>AND(Data!O60,"AAAAACS/fz8=")</f>
        <v>#VALUE!</v>
      </c>
      <c r="BM10" t="e">
        <f>AND(Data!P60,"AAAAACS/f0A=")</f>
        <v>#VALUE!</v>
      </c>
      <c r="BN10" t="e">
        <f>AND(Data!Q60,"AAAAACS/f0E=")</f>
        <v>#VALUE!</v>
      </c>
      <c r="BO10" t="e">
        <f>AND(Data!#REF!,"AAAAACS/f0I=")</f>
        <v>#REF!</v>
      </c>
      <c r="BP10" t="e">
        <f>AND(Data!#REF!,"AAAAACS/f0M=")</f>
        <v>#REF!</v>
      </c>
      <c r="BQ10" t="e">
        <f>AND(Data!#REF!,"AAAAACS/f0Q=")</f>
        <v>#REF!</v>
      </c>
      <c r="BR10" t="e">
        <f>AND(Data!#REF!,"AAAAACS/f0U=")</f>
        <v>#REF!</v>
      </c>
      <c r="BS10" t="e">
        <f>AND(Data!#REF!,"AAAAACS/f0Y=")</f>
        <v>#REF!</v>
      </c>
      <c r="BT10" t="e">
        <f>AND(Data!#REF!,"AAAAACS/f0c=")</f>
        <v>#REF!</v>
      </c>
      <c r="BU10" t="e">
        <f>AND(Data!#REF!,"AAAAACS/f0g=")</f>
        <v>#REF!</v>
      </c>
      <c r="BV10" t="e">
        <f>AND(Data!#REF!,"AAAAACS/f0k=")</f>
        <v>#REF!</v>
      </c>
      <c r="BW10" t="e">
        <f>AND(Data!#REF!,"AAAAACS/f0o=")</f>
        <v>#REF!</v>
      </c>
      <c r="BX10" t="e">
        <f>AND(Data!#REF!,"AAAAACS/f0s=")</f>
        <v>#REF!</v>
      </c>
      <c r="BY10">
        <f>IF(Data!61:61,"AAAAACS/f0w=",0)</f>
        <v>0</v>
      </c>
      <c r="BZ10" t="e">
        <f>AND(Data!A61,"AAAAACS/f00=")</f>
        <v>#VALUE!</v>
      </c>
      <c r="CA10" t="e">
        <f>AND(Data!B61,"AAAAACS/f04=")</f>
        <v>#VALUE!</v>
      </c>
      <c r="CB10" t="e">
        <f>AND(Data!C61,"AAAAACS/f08=")</f>
        <v>#VALUE!</v>
      </c>
      <c r="CC10" t="e">
        <f>AND(Data!D61,"AAAAACS/f1A=")</f>
        <v>#VALUE!</v>
      </c>
      <c r="CD10" t="e">
        <f>AND(Data!E61,"AAAAACS/f1E=")</f>
        <v>#VALUE!</v>
      </c>
      <c r="CE10" t="e">
        <f>AND(Data!F61,"AAAAACS/f1I=")</f>
        <v>#VALUE!</v>
      </c>
      <c r="CF10" t="e">
        <f>AND(Data!G61,"AAAAACS/f1M=")</f>
        <v>#VALUE!</v>
      </c>
      <c r="CG10" t="e">
        <f>AND(Data!H61,"AAAAACS/f1Q=")</f>
        <v>#VALUE!</v>
      </c>
      <c r="CH10" t="e">
        <f>AND(Data!I61,"AAAAACS/f1U=")</f>
        <v>#VALUE!</v>
      </c>
      <c r="CI10" t="e">
        <f>AND(Data!J61,"AAAAACS/f1Y=")</f>
        <v>#VALUE!</v>
      </c>
      <c r="CJ10" t="e">
        <f>AND(Data!K61,"AAAAACS/f1c=")</f>
        <v>#VALUE!</v>
      </c>
      <c r="CK10" t="e">
        <f>AND(Data!L61,"AAAAACS/f1g=")</f>
        <v>#VALUE!</v>
      </c>
      <c r="CL10" t="e">
        <f>AND(Data!M61,"AAAAACS/f1k=")</f>
        <v>#VALUE!</v>
      </c>
      <c r="CM10" t="e">
        <f>AND(Data!N61,"AAAAACS/f1o=")</f>
        <v>#VALUE!</v>
      </c>
      <c r="CN10" t="e">
        <f>AND(Data!O61,"AAAAACS/f1s=")</f>
        <v>#VALUE!</v>
      </c>
      <c r="CO10" t="e">
        <f>AND(Data!P61,"AAAAACS/f1w=")</f>
        <v>#VALUE!</v>
      </c>
      <c r="CP10" t="e">
        <f>AND(Data!Q61,"AAAAACS/f10=")</f>
        <v>#VALUE!</v>
      </c>
      <c r="CQ10" t="e">
        <f>AND(Data!#REF!,"AAAAACS/f14=")</f>
        <v>#REF!</v>
      </c>
      <c r="CR10" t="e">
        <f>AND(Data!#REF!,"AAAAACS/f18=")</f>
        <v>#REF!</v>
      </c>
      <c r="CS10" t="e">
        <f>AND(Data!#REF!,"AAAAACS/f2A=")</f>
        <v>#REF!</v>
      </c>
      <c r="CT10" t="e">
        <f>AND(Data!#REF!,"AAAAACS/f2E=")</f>
        <v>#REF!</v>
      </c>
      <c r="CU10" t="e">
        <f>AND(Data!#REF!,"AAAAACS/f2I=")</f>
        <v>#REF!</v>
      </c>
      <c r="CV10" t="e">
        <f>AND(Data!#REF!,"AAAAACS/f2M=")</f>
        <v>#REF!</v>
      </c>
      <c r="CW10" t="e">
        <f>AND(Data!#REF!,"AAAAACS/f2Q=")</f>
        <v>#REF!</v>
      </c>
      <c r="CX10" t="e">
        <f>AND(Data!#REF!,"AAAAACS/f2U=")</f>
        <v>#REF!</v>
      </c>
      <c r="CY10" t="e">
        <f>AND(Data!#REF!,"AAAAACS/f2Y=")</f>
        <v>#REF!</v>
      </c>
      <c r="CZ10" t="e">
        <f>AND(Data!#REF!,"AAAAACS/f2c=")</f>
        <v>#REF!</v>
      </c>
      <c r="DA10">
        <f>IF(Data!62:62,"AAAAACS/f2g=",0)</f>
        <v>0</v>
      </c>
      <c r="DB10" t="e">
        <f>AND(Data!A62,"AAAAACS/f2k=")</f>
        <v>#VALUE!</v>
      </c>
      <c r="DC10" t="e">
        <f>AND(Data!B62,"AAAAACS/f2o=")</f>
        <v>#VALUE!</v>
      </c>
      <c r="DD10" t="e">
        <f>AND(Data!C62,"AAAAACS/f2s=")</f>
        <v>#VALUE!</v>
      </c>
      <c r="DE10" t="e">
        <f>AND(Data!D62,"AAAAACS/f2w=")</f>
        <v>#VALUE!</v>
      </c>
      <c r="DF10" t="e">
        <f>AND(Data!E62,"AAAAACS/f20=")</f>
        <v>#VALUE!</v>
      </c>
      <c r="DG10" t="e">
        <f>AND(Data!F62,"AAAAACS/f24=")</f>
        <v>#VALUE!</v>
      </c>
      <c r="DH10" t="e">
        <f>AND(Data!G62,"AAAAACS/f28=")</f>
        <v>#VALUE!</v>
      </c>
      <c r="DI10" t="e">
        <f>AND(Data!H62,"AAAAACS/f3A=")</f>
        <v>#VALUE!</v>
      </c>
      <c r="DJ10" t="e">
        <f>AND(Data!I62,"AAAAACS/f3E=")</f>
        <v>#VALUE!</v>
      </c>
      <c r="DK10" t="e">
        <f>AND(Data!J62,"AAAAACS/f3I=")</f>
        <v>#VALUE!</v>
      </c>
      <c r="DL10" t="e">
        <f>AND(Data!K62,"AAAAACS/f3M=")</f>
        <v>#VALUE!</v>
      </c>
      <c r="DM10" t="e">
        <f>AND(Data!L62,"AAAAACS/f3Q=")</f>
        <v>#VALUE!</v>
      </c>
      <c r="DN10" t="e">
        <f>AND(Data!M62,"AAAAACS/f3U=")</f>
        <v>#VALUE!</v>
      </c>
      <c r="DO10" t="e">
        <f>AND(Data!N62,"AAAAACS/f3Y=")</f>
        <v>#VALUE!</v>
      </c>
      <c r="DP10" t="e">
        <f>AND(Data!O62,"AAAAACS/f3c=")</f>
        <v>#VALUE!</v>
      </c>
      <c r="DQ10" t="e">
        <f>AND(Data!P62,"AAAAACS/f3g=")</f>
        <v>#VALUE!</v>
      </c>
      <c r="DR10" t="e">
        <f>AND(Data!Q62,"AAAAACS/f3k=")</f>
        <v>#VALUE!</v>
      </c>
      <c r="DS10" t="e">
        <f>AND(Data!#REF!,"AAAAACS/f3o=")</f>
        <v>#REF!</v>
      </c>
      <c r="DT10" t="e">
        <f>AND(Data!#REF!,"AAAAACS/f3s=")</f>
        <v>#REF!</v>
      </c>
      <c r="DU10" t="e">
        <f>AND(Data!#REF!,"AAAAACS/f3w=")</f>
        <v>#REF!</v>
      </c>
      <c r="DV10" t="e">
        <f>AND(Data!#REF!,"AAAAACS/f30=")</f>
        <v>#REF!</v>
      </c>
      <c r="DW10" t="e">
        <f>AND(Data!#REF!,"AAAAACS/f34=")</f>
        <v>#REF!</v>
      </c>
      <c r="DX10" t="e">
        <f>AND(Data!#REF!,"AAAAACS/f38=")</f>
        <v>#REF!</v>
      </c>
      <c r="DY10" t="e">
        <f>AND(Data!#REF!,"AAAAACS/f4A=")</f>
        <v>#REF!</v>
      </c>
      <c r="DZ10" t="e">
        <f>AND(Data!#REF!,"AAAAACS/f4E=")</f>
        <v>#REF!</v>
      </c>
      <c r="EA10" t="e">
        <f>AND(Data!#REF!,"AAAAACS/f4I=")</f>
        <v>#REF!</v>
      </c>
      <c r="EB10" t="e">
        <f>AND(Data!#REF!,"AAAAACS/f4M=")</f>
        <v>#REF!</v>
      </c>
      <c r="EC10">
        <f>IF(Data!63:63,"AAAAACS/f4Q=",0)</f>
        <v>0</v>
      </c>
      <c r="ED10" t="e">
        <f>AND(Data!A63,"AAAAACS/f4U=")</f>
        <v>#VALUE!</v>
      </c>
      <c r="EE10" t="e">
        <f>AND(Data!B63,"AAAAACS/f4Y=")</f>
        <v>#VALUE!</v>
      </c>
      <c r="EF10" t="e">
        <f>AND(Data!C63,"AAAAACS/f4c=")</f>
        <v>#VALUE!</v>
      </c>
      <c r="EG10" t="e">
        <f>AND(Data!D63,"AAAAACS/f4g=")</f>
        <v>#VALUE!</v>
      </c>
      <c r="EH10" t="e">
        <f>AND(Data!E63,"AAAAACS/f4k=")</f>
        <v>#VALUE!</v>
      </c>
      <c r="EI10" t="e">
        <f>AND(Data!F63,"AAAAACS/f4o=")</f>
        <v>#VALUE!</v>
      </c>
      <c r="EJ10" t="e">
        <f>AND(Data!G63,"AAAAACS/f4s=")</f>
        <v>#VALUE!</v>
      </c>
      <c r="EK10" t="e">
        <f>AND(Data!H63,"AAAAACS/f4w=")</f>
        <v>#VALUE!</v>
      </c>
      <c r="EL10" t="e">
        <f>AND(Data!I63,"AAAAACS/f40=")</f>
        <v>#VALUE!</v>
      </c>
      <c r="EM10" t="e">
        <f>AND(Data!J63,"AAAAACS/f44=")</f>
        <v>#VALUE!</v>
      </c>
      <c r="EN10" t="e">
        <f>AND(Data!K63,"AAAAACS/f48=")</f>
        <v>#VALUE!</v>
      </c>
      <c r="EO10" t="e">
        <f>AND(Data!L63,"AAAAACS/f5A=")</f>
        <v>#VALUE!</v>
      </c>
      <c r="EP10" t="e">
        <f>AND(Data!M63,"AAAAACS/f5E=")</f>
        <v>#VALUE!</v>
      </c>
      <c r="EQ10" t="e">
        <f>AND(Data!N63,"AAAAACS/f5I=")</f>
        <v>#VALUE!</v>
      </c>
      <c r="ER10" t="e">
        <f>AND(Data!O63,"AAAAACS/f5M=")</f>
        <v>#VALUE!</v>
      </c>
      <c r="ES10" t="e">
        <f>AND(Data!P63,"AAAAACS/f5Q=")</f>
        <v>#VALUE!</v>
      </c>
      <c r="ET10" t="e">
        <f>AND(Data!Q63,"AAAAACS/f5U=")</f>
        <v>#VALUE!</v>
      </c>
      <c r="EU10" t="e">
        <f>AND(Data!#REF!,"AAAAACS/f5Y=")</f>
        <v>#REF!</v>
      </c>
      <c r="EV10" t="e">
        <f>AND(Data!#REF!,"AAAAACS/f5c=")</f>
        <v>#REF!</v>
      </c>
      <c r="EW10" t="e">
        <f>AND(Data!#REF!,"AAAAACS/f5g=")</f>
        <v>#REF!</v>
      </c>
      <c r="EX10" t="e">
        <f>AND(Data!#REF!,"AAAAACS/f5k=")</f>
        <v>#REF!</v>
      </c>
      <c r="EY10" t="e">
        <f>AND(Data!#REF!,"AAAAACS/f5o=")</f>
        <v>#REF!</v>
      </c>
      <c r="EZ10" t="e">
        <f>AND(Data!#REF!,"AAAAACS/f5s=")</f>
        <v>#REF!</v>
      </c>
      <c r="FA10" t="e">
        <f>AND(Data!#REF!,"AAAAACS/f5w=")</f>
        <v>#REF!</v>
      </c>
      <c r="FB10" t="e">
        <f>AND(Data!#REF!,"AAAAACS/f50=")</f>
        <v>#REF!</v>
      </c>
      <c r="FC10" t="e">
        <f>AND(Data!#REF!,"AAAAACS/f54=")</f>
        <v>#REF!</v>
      </c>
      <c r="FD10" t="e">
        <f>AND(Data!#REF!,"AAAAACS/f58=")</f>
        <v>#REF!</v>
      </c>
      <c r="FE10">
        <f>IF(Data!64:64,"AAAAACS/f6A=",0)</f>
        <v>0</v>
      </c>
      <c r="FF10" t="e">
        <f>AND(Data!A64,"AAAAACS/f6E=")</f>
        <v>#VALUE!</v>
      </c>
      <c r="FG10" t="e">
        <f>AND(Data!B64,"AAAAACS/f6I=")</f>
        <v>#VALUE!</v>
      </c>
      <c r="FH10" t="e">
        <f>AND(Data!C64,"AAAAACS/f6M=")</f>
        <v>#VALUE!</v>
      </c>
      <c r="FI10" t="e">
        <f>AND(Data!D64,"AAAAACS/f6Q=")</f>
        <v>#VALUE!</v>
      </c>
      <c r="FJ10" t="e">
        <f>AND(Data!E64,"AAAAACS/f6U=")</f>
        <v>#VALUE!</v>
      </c>
      <c r="FK10" t="e">
        <f>AND(Data!F64,"AAAAACS/f6Y=")</f>
        <v>#VALUE!</v>
      </c>
      <c r="FL10" t="e">
        <f>AND(Data!G64,"AAAAACS/f6c=")</f>
        <v>#VALUE!</v>
      </c>
      <c r="FM10" t="e">
        <f>AND(Data!H64,"AAAAACS/f6g=")</f>
        <v>#VALUE!</v>
      </c>
      <c r="FN10" t="e">
        <f>AND(Data!I64,"AAAAACS/f6k=")</f>
        <v>#VALUE!</v>
      </c>
      <c r="FO10" t="e">
        <f>AND(Data!J64,"AAAAACS/f6o=")</f>
        <v>#VALUE!</v>
      </c>
      <c r="FP10" t="e">
        <f>AND(Data!K64,"AAAAACS/f6s=")</f>
        <v>#VALUE!</v>
      </c>
      <c r="FQ10" t="e">
        <f>AND(Data!L64,"AAAAACS/f6w=")</f>
        <v>#VALUE!</v>
      </c>
      <c r="FR10" t="e">
        <f>AND(Data!M64,"AAAAACS/f60=")</f>
        <v>#VALUE!</v>
      </c>
      <c r="FS10" t="e">
        <f>AND(Data!N64,"AAAAACS/f64=")</f>
        <v>#VALUE!</v>
      </c>
      <c r="FT10" t="e">
        <f>AND(Data!O64,"AAAAACS/f68=")</f>
        <v>#VALUE!</v>
      </c>
      <c r="FU10" t="e">
        <f>AND(Data!P64,"AAAAACS/f7A=")</f>
        <v>#VALUE!</v>
      </c>
      <c r="FV10" t="e">
        <f>AND(Data!Q64,"AAAAACS/f7E=")</f>
        <v>#VALUE!</v>
      </c>
      <c r="FW10" t="e">
        <f>AND(Data!#REF!,"AAAAACS/f7I=")</f>
        <v>#REF!</v>
      </c>
      <c r="FX10" t="e">
        <f>AND(Data!#REF!,"AAAAACS/f7M=")</f>
        <v>#REF!</v>
      </c>
      <c r="FY10" t="e">
        <f>AND(Data!#REF!,"AAAAACS/f7Q=")</f>
        <v>#REF!</v>
      </c>
      <c r="FZ10" t="e">
        <f>AND(Data!#REF!,"AAAAACS/f7U=")</f>
        <v>#REF!</v>
      </c>
      <c r="GA10" t="e">
        <f>AND(Data!#REF!,"AAAAACS/f7Y=")</f>
        <v>#REF!</v>
      </c>
      <c r="GB10" t="e">
        <f>AND(Data!#REF!,"AAAAACS/f7c=")</f>
        <v>#REF!</v>
      </c>
      <c r="GC10" t="e">
        <f>AND(Data!#REF!,"AAAAACS/f7g=")</f>
        <v>#REF!</v>
      </c>
      <c r="GD10" t="e">
        <f>AND(Data!#REF!,"AAAAACS/f7k=")</f>
        <v>#REF!</v>
      </c>
      <c r="GE10" t="e">
        <f>AND(Data!#REF!,"AAAAACS/f7o=")</f>
        <v>#REF!</v>
      </c>
      <c r="GF10" t="e">
        <f>AND(Data!#REF!,"AAAAACS/f7s=")</f>
        <v>#REF!</v>
      </c>
      <c r="GG10">
        <f>IF(Data!65:65,"AAAAACS/f7w=",0)</f>
        <v>0</v>
      </c>
      <c r="GH10" t="e">
        <f>AND(Data!A65,"AAAAACS/f70=")</f>
        <v>#VALUE!</v>
      </c>
      <c r="GI10" t="e">
        <f>AND(Data!B65,"AAAAACS/f74=")</f>
        <v>#VALUE!</v>
      </c>
      <c r="GJ10" t="e">
        <f>AND(Data!C65,"AAAAACS/f78=")</f>
        <v>#VALUE!</v>
      </c>
      <c r="GK10" t="e">
        <f>AND(Data!D65,"AAAAACS/f8A=")</f>
        <v>#VALUE!</v>
      </c>
      <c r="GL10" t="e">
        <f>AND(Data!E65,"AAAAACS/f8E=")</f>
        <v>#VALUE!</v>
      </c>
      <c r="GM10" t="e">
        <f>AND(Data!F65,"AAAAACS/f8I=")</f>
        <v>#VALUE!</v>
      </c>
      <c r="GN10" t="e">
        <f>AND(Data!G65,"AAAAACS/f8M=")</f>
        <v>#VALUE!</v>
      </c>
      <c r="GO10" t="e">
        <f>AND(Data!H65,"AAAAACS/f8Q=")</f>
        <v>#VALUE!</v>
      </c>
      <c r="GP10" t="e">
        <f>AND(Data!I65,"AAAAACS/f8U=")</f>
        <v>#VALUE!</v>
      </c>
      <c r="GQ10" t="e">
        <f>AND(Data!J65,"AAAAACS/f8Y=")</f>
        <v>#VALUE!</v>
      </c>
      <c r="GR10" t="e">
        <f>AND(Data!K65,"AAAAACS/f8c=")</f>
        <v>#VALUE!</v>
      </c>
      <c r="GS10" t="e">
        <f>AND(Data!L65,"AAAAACS/f8g=")</f>
        <v>#VALUE!</v>
      </c>
      <c r="GT10" t="e">
        <f>AND(Data!M65,"AAAAACS/f8k=")</f>
        <v>#VALUE!</v>
      </c>
      <c r="GU10" t="e">
        <f>AND(Data!N65,"AAAAACS/f8o=")</f>
        <v>#VALUE!</v>
      </c>
      <c r="GV10" t="e">
        <f>AND(Data!O65,"AAAAACS/f8s=")</f>
        <v>#VALUE!</v>
      </c>
      <c r="GW10" t="e">
        <f>AND(Data!P65,"AAAAACS/f8w=")</f>
        <v>#VALUE!</v>
      </c>
      <c r="GX10" t="e">
        <f>AND(Data!Q65,"AAAAACS/f80=")</f>
        <v>#VALUE!</v>
      </c>
      <c r="GY10" t="e">
        <f>AND(Data!#REF!,"AAAAACS/f84=")</f>
        <v>#REF!</v>
      </c>
      <c r="GZ10" t="e">
        <f>AND(Data!#REF!,"AAAAACS/f88=")</f>
        <v>#REF!</v>
      </c>
      <c r="HA10" t="e">
        <f>AND(Data!#REF!,"AAAAACS/f9A=")</f>
        <v>#REF!</v>
      </c>
      <c r="HB10" t="e">
        <f>AND(Data!#REF!,"AAAAACS/f9E=")</f>
        <v>#REF!</v>
      </c>
      <c r="HC10" t="e">
        <f>AND(Data!#REF!,"AAAAACS/f9I=")</f>
        <v>#REF!</v>
      </c>
      <c r="HD10" t="e">
        <f>AND(Data!#REF!,"AAAAACS/f9M=")</f>
        <v>#REF!</v>
      </c>
      <c r="HE10" t="e">
        <f>AND(Data!#REF!,"AAAAACS/f9Q=")</f>
        <v>#REF!</v>
      </c>
      <c r="HF10" t="e">
        <f>AND(Data!#REF!,"AAAAACS/f9U=")</f>
        <v>#REF!</v>
      </c>
      <c r="HG10" t="e">
        <f>AND(Data!#REF!,"AAAAACS/f9Y=")</f>
        <v>#REF!</v>
      </c>
      <c r="HH10" t="e">
        <f>AND(Data!#REF!,"AAAAACS/f9c=")</f>
        <v>#REF!</v>
      </c>
      <c r="HI10">
        <f>IF(Data!66:66,"AAAAACS/f9g=",0)</f>
        <v>0</v>
      </c>
      <c r="HJ10" t="e">
        <f>AND(Data!A66,"AAAAACS/f9k=")</f>
        <v>#VALUE!</v>
      </c>
      <c r="HK10" t="e">
        <f>AND(Data!B66,"AAAAACS/f9o=")</f>
        <v>#VALUE!</v>
      </c>
      <c r="HL10" t="e">
        <f>AND(Data!C66,"AAAAACS/f9s=")</f>
        <v>#VALUE!</v>
      </c>
      <c r="HM10" t="e">
        <f>AND(Data!D66,"AAAAACS/f9w=")</f>
        <v>#VALUE!</v>
      </c>
      <c r="HN10" t="e">
        <f>AND(Data!E66,"AAAAACS/f90=")</f>
        <v>#VALUE!</v>
      </c>
      <c r="HO10" t="e">
        <f>AND(Data!F66,"AAAAACS/f94=")</f>
        <v>#VALUE!</v>
      </c>
      <c r="HP10" t="e">
        <f>AND(Data!G66,"AAAAACS/f98=")</f>
        <v>#VALUE!</v>
      </c>
      <c r="HQ10" t="e">
        <f>AND(Data!H66,"AAAAACS/f+A=")</f>
        <v>#VALUE!</v>
      </c>
      <c r="HR10" t="e">
        <f>AND(Data!I66,"AAAAACS/f+E=")</f>
        <v>#VALUE!</v>
      </c>
      <c r="HS10" t="e">
        <f>AND(Data!J66,"AAAAACS/f+I=")</f>
        <v>#VALUE!</v>
      </c>
      <c r="HT10" t="e">
        <f>AND(Data!K66,"AAAAACS/f+M=")</f>
        <v>#VALUE!</v>
      </c>
      <c r="HU10" t="e">
        <f>AND(Data!L66,"AAAAACS/f+Q=")</f>
        <v>#VALUE!</v>
      </c>
      <c r="HV10" t="e">
        <f>AND(Data!M66,"AAAAACS/f+U=")</f>
        <v>#VALUE!</v>
      </c>
      <c r="HW10" t="e">
        <f>AND(Data!N66,"AAAAACS/f+Y=")</f>
        <v>#VALUE!</v>
      </c>
      <c r="HX10" t="e">
        <f>AND(Data!O66,"AAAAACS/f+c=")</f>
        <v>#VALUE!</v>
      </c>
      <c r="HY10" t="e">
        <f>AND(Data!P66,"AAAAACS/f+g=")</f>
        <v>#VALUE!</v>
      </c>
      <c r="HZ10" t="e">
        <f>AND(Data!Q66,"AAAAACS/f+k=")</f>
        <v>#VALUE!</v>
      </c>
      <c r="IA10" t="e">
        <f>AND(Data!#REF!,"AAAAACS/f+o=")</f>
        <v>#REF!</v>
      </c>
      <c r="IB10" t="e">
        <f>AND(Data!#REF!,"AAAAACS/f+s=")</f>
        <v>#REF!</v>
      </c>
      <c r="IC10" t="e">
        <f>AND(Data!#REF!,"AAAAACS/f+w=")</f>
        <v>#REF!</v>
      </c>
      <c r="ID10" t="e">
        <f>AND(Data!#REF!,"AAAAACS/f+0=")</f>
        <v>#REF!</v>
      </c>
      <c r="IE10" t="e">
        <f>AND(Data!#REF!,"AAAAACS/f+4=")</f>
        <v>#REF!</v>
      </c>
      <c r="IF10" t="e">
        <f>AND(Data!#REF!,"AAAAACS/f+8=")</f>
        <v>#REF!</v>
      </c>
      <c r="IG10" t="e">
        <f>AND(Data!#REF!,"AAAAACS/f/A=")</f>
        <v>#REF!</v>
      </c>
      <c r="IH10" t="e">
        <f>AND(Data!#REF!,"AAAAACS/f/E=")</f>
        <v>#REF!</v>
      </c>
      <c r="II10" t="e">
        <f>AND(Data!#REF!,"AAAAACS/f/I=")</f>
        <v>#REF!</v>
      </c>
      <c r="IJ10" t="e">
        <f>AND(Data!#REF!,"AAAAACS/f/M=")</f>
        <v>#REF!</v>
      </c>
      <c r="IK10">
        <f>IF(Data!67:67,"AAAAACS/f/Q=",0)</f>
        <v>0</v>
      </c>
      <c r="IL10" t="e">
        <f>AND(Data!A67,"AAAAACS/f/U=")</f>
        <v>#VALUE!</v>
      </c>
      <c r="IM10" t="e">
        <f>AND(Data!B67,"AAAAACS/f/Y=")</f>
        <v>#VALUE!</v>
      </c>
      <c r="IN10" t="e">
        <f>AND(Data!C67,"AAAAACS/f/c=")</f>
        <v>#VALUE!</v>
      </c>
      <c r="IO10" t="e">
        <f>AND(Data!D67,"AAAAACS/f/g=")</f>
        <v>#VALUE!</v>
      </c>
      <c r="IP10" t="e">
        <f>AND(Data!E67,"AAAAACS/f/k=")</f>
        <v>#VALUE!</v>
      </c>
      <c r="IQ10" t="e">
        <f>AND(Data!F67,"AAAAACS/f/o=")</f>
        <v>#VALUE!</v>
      </c>
      <c r="IR10" t="e">
        <f>AND(Data!G67,"AAAAACS/f/s=")</f>
        <v>#VALUE!</v>
      </c>
      <c r="IS10" t="e">
        <f>AND(Data!H67,"AAAAACS/f/w=")</f>
        <v>#VALUE!</v>
      </c>
      <c r="IT10" t="e">
        <f>AND(Data!I67,"AAAAACS/f/0=")</f>
        <v>#VALUE!</v>
      </c>
      <c r="IU10" t="e">
        <f>AND(Data!J67,"AAAAACS/f/4=")</f>
        <v>#VALUE!</v>
      </c>
      <c r="IV10" t="e">
        <f>AND(Data!K67,"AAAAACS/f/8=")</f>
        <v>#VALUE!</v>
      </c>
    </row>
    <row r="11" spans="1:256">
      <c r="A11" t="e">
        <f>AND(Data!L67,"AAAAAF5j3QA=")</f>
        <v>#VALUE!</v>
      </c>
      <c r="B11" t="e">
        <f>AND(Data!M67,"AAAAAF5j3QE=")</f>
        <v>#VALUE!</v>
      </c>
      <c r="C11" t="e">
        <f>AND(Data!N67,"AAAAAF5j3QI=")</f>
        <v>#VALUE!</v>
      </c>
      <c r="D11" t="e">
        <f>AND(Data!O67,"AAAAAF5j3QM=")</f>
        <v>#VALUE!</v>
      </c>
      <c r="E11" t="e">
        <f>AND(Data!P67,"AAAAAF5j3QQ=")</f>
        <v>#VALUE!</v>
      </c>
      <c r="F11" t="e">
        <f>AND(Data!Q67,"AAAAAF5j3QU=")</f>
        <v>#VALUE!</v>
      </c>
      <c r="G11" t="e">
        <f>AND(Data!#REF!,"AAAAAF5j3QY=")</f>
        <v>#REF!</v>
      </c>
      <c r="H11" t="e">
        <f>AND(Data!#REF!,"AAAAAF5j3Qc=")</f>
        <v>#REF!</v>
      </c>
      <c r="I11" t="e">
        <f>AND(Data!#REF!,"AAAAAF5j3Qg=")</f>
        <v>#REF!</v>
      </c>
      <c r="J11" t="e">
        <f>AND(Data!#REF!,"AAAAAF5j3Qk=")</f>
        <v>#REF!</v>
      </c>
      <c r="K11" t="e">
        <f>AND(Data!#REF!,"AAAAAF5j3Qo=")</f>
        <v>#REF!</v>
      </c>
      <c r="L11" t="e">
        <f>AND(Data!#REF!,"AAAAAF5j3Qs=")</f>
        <v>#REF!</v>
      </c>
      <c r="M11" t="e">
        <f>AND(Data!#REF!,"AAAAAF5j3Qw=")</f>
        <v>#REF!</v>
      </c>
      <c r="N11" t="e">
        <f>AND(Data!#REF!,"AAAAAF5j3Q0=")</f>
        <v>#REF!</v>
      </c>
      <c r="O11" t="e">
        <f>AND(Data!#REF!,"AAAAAF5j3Q4=")</f>
        <v>#REF!</v>
      </c>
      <c r="P11" t="e">
        <f>AND(Data!#REF!,"AAAAAF5j3Q8=")</f>
        <v>#REF!</v>
      </c>
      <c r="Q11" t="e">
        <f>IF(Data!68:68,"AAAAAF5j3RA=",0)</f>
        <v>#VALUE!</v>
      </c>
      <c r="R11" t="e">
        <f>AND(Data!A68,"AAAAAF5j3RE=")</f>
        <v>#VALUE!</v>
      </c>
      <c r="S11" t="e">
        <f>AND(Data!B68,"AAAAAF5j3RI=")</f>
        <v>#VALUE!</v>
      </c>
      <c r="T11" t="e">
        <f>AND(Data!C68,"AAAAAF5j3RM=")</f>
        <v>#VALUE!</v>
      </c>
      <c r="U11" t="e">
        <f>AND(Data!D68,"AAAAAF5j3RQ=")</f>
        <v>#VALUE!</v>
      </c>
      <c r="V11" t="e">
        <f>AND(Data!E68,"AAAAAF5j3RU=")</f>
        <v>#VALUE!</v>
      </c>
      <c r="W11" t="e">
        <f>AND(Data!F68,"AAAAAF5j3RY=")</f>
        <v>#VALUE!</v>
      </c>
      <c r="X11" t="e">
        <f>AND(Data!G68,"AAAAAF5j3Rc=")</f>
        <v>#VALUE!</v>
      </c>
      <c r="Y11" t="e">
        <f>AND(Data!H68,"AAAAAF5j3Rg=")</f>
        <v>#VALUE!</v>
      </c>
      <c r="Z11" t="e">
        <f>AND(Data!I68,"AAAAAF5j3Rk=")</f>
        <v>#VALUE!</v>
      </c>
      <c r="AA11" t="e">
        <f>AND(Data!J68,"AAAAAF5j3Ro=")</f>
        <v>#VALUE!</v>
      </c>
      <c r="AB11" t="e">
        <f>AND(Data!K68,"AAAAAF5j3Rs=")</f>
        <v>#VALUE!</v>
      </c>
      <c r="AC11" t="e">
        <f>AND(Data!L68,"AAAAAF5j3Rw=")</f>
        <v>#VALUE!</v>
      </c>
      <c r="AD11" t="e">
        <f>AND(Data!M68,"AAAAAF5j3R0=")</f>
        <v>#VALUE!</v>
      </c>
      <c r="AE11" t="e">
        <f>AND(Data!N68,"AAAAAF5j3R4=")</f>
        <v>#VALUE!</v>
      </c>
      <c r="AF11" t="e">
        <f>AND(Data!O68,"AAAAAF5j3R8=")</f>
        <v>#VALUE!</v>
      </c>
      <c r="AG11" t="e">
        <f>AND(Data!P68,"AAAAAF5j3SA=")</f>
        <v>#VALUE!</v>
      </c>
      <c r="AH11" t="e">
        <f>AND(Data!Q68,"AAAAAF5j3SE=")</f>
        <v>#VALUE!</v>
      </c>
      <c r="AI11" t="e">
        <f>AND(Data!#REF!,"AAAAAF5j3SI=")</f>
        <v>#REF!</v>
      </c>
      <c r="AJ11" t="e">
        <f>AND(Data!#REF!,"AAAAAF5j3SM=")</f>
        <v>#REF!</v>
      </c>
      <c r="AK11" t="e">
        <f>AND(Data!#REF!,"AAAAAF5j3SQ=")</f>
        <v>#REF!</v>
      </c>
      <c r="AL11" t="e">
        <f>AND(Data!#REF!,"AAAAAF5j3SU=")</f>
        <v>#REF!</v>
      </c>
      <c r="AM11" t="e">
        <f>AND(Data!#REF!,"AAAAAF5j3SY=")</f>
        <v>#REF!</v>
      </c>
      <c r="AN11" t="e">
        <f>AND(Data!#REF!,"AAAAAF5j3Sc=")</f>
        <v>#REF!</v>
      </c>
      <c r="AO11" t="e">
        <f>AND(Data!#REF!,"AAAAAF5j3Sg=")</f>
        <v>#REF!</v>
      </c>
      <c r="AP11" t="e">
        <f>AND(Data!#REF!,"AAAAAF5j3Sk=")</f>
        <v>#REF!</v>
      </c>
      <c r="AQ11" t="e">
        <f>AND(Data!#REF!,"AAAAAF5j3So=")</f>
        <v>#REF!</v>
      </c>
      <c r="AR11" t="e">
        <f>AND(Data!#REF!,"AAAAAF5j3Ss=")</f>
        <v>#REF!</v>
      </c>
      <c r="AS11">
        <f>IF(Data!69:69,"AAAAAF5j3Sw=",0)</f>
        <v>0</v>
      </c>
      <c r="AT11" t="e">
        <f>AND(Data!A69,"AAAAAF5j3S0=")</f>
        <v>#VALUE!</v>
      </c>
      <c r="AU11" t="e">
        <f>AND(Data!B69,"AAAAAF5j3S4=")</f>
        <v>#VALUE!</v>
      </c>
      <c r="AV11" t="e">
        <f>AND(Data!C69,"AAAAAF5j3S8=")</f>
        <v>#VALUE!</v>
      </c>
      <c r="AW11" t="e">
        <f>AND(Data!D69,"AAAAAF5j3TA=")</f>
        <v>#VALUE!</v>
      </c>
      <c r="AX11" t="e">
        <f>AND(Data!E69,"AAAAAF5j3TE=")</f>
        <v>#VALUE!</v>
      </c>
      <c r="AY11" t="e">
        <f>AND(Data!F69,"AAAAAF5j3TI=")</f>
        <v>#VALUE!</v>
      </c>
      <c r="AZ11" t="e">
        <f>AND(Data!G69,"AAAAAF5j3TM=")</f>
        <v>#VALUE!</v>
      </c>
      <c r="BA11" t="e">
        <f>AND(Data!H69,"AAAAAF5j3TQ=")</f>
        <v>#VALUE!</v>
      </c>
      <c r="BB11" t="e">
        <f>AND(Data!I69,"AAAAAF5j3TU=")</f>
        <v>#VALUE!</v>
      </c>
      <c r="BC11" t="e">
        <f>AND(Data!J69,"AAAAAF5j3TY=")</f>
        <v>#VALUE!</v>
      </c>
      <c r="BD11" t="e">
        <f>AND(Data!K69,"AAAAAF5j3Tc=")</f>
        <v>#VALUE!</v>
      </c>
      <c r="BE11" t="e">
        <f>AND(Data!L69,"AAAAAF5j3Tg=")</f>
        <v>#VALUE!</v>
      </c>
      <c r="BF11" t="e">
        <f>AND(Data!M69,"AAAAAF5j3Tk=")</f>
        <v>#VALUE!</v>
      </c>
      <c r="BG11" t="e">
        <f>AND(Data!N69,"AAAAAF5j3To=")</f>
        <v>#VALUE!</v>
      </c>
      <c r="BH11" t="e">
        <f>AND(Data!O69,"AAAAAF5j3Ts=")</f>
        <v>#VALUE!</v>
      </c>
      <c r="BI11" t="e">
        <f>AND(Data!P69,"AAAAAF5j3Tw=")</f>
        <v>#VALUE!</v>
      </c>
      <c r="BJ11" t="e">
        <f>AND(Data!Q69,"AAAAAF5j3T0=")</f>
        <v>#VALUE!</v>
      </c>
      <c r="BK11" t="e">
        <f>AND(Data!#REF!,"AAAAAF5j3T4=")</f>
        <v>#REF!</v>
      </c>
      <c r="BL11" t="e">
        <f>AND(Data!#REF!,"AAAAAF5j3T8=")</f>
        <v>#REF!</v>
      </c>
      <c r="BM11" t="e">
        <f>AND(Data!#REF!,"AAAAAF5j3UA=")</f>
        <v>#REF!</v>
      </c>
      <c r="BN11" t="e">
        <f>AND(Data!#REF!,"AAAAAF5j3UE=")</f>
        <v>#REF!</v>
      </c>
      <c r="BO11" t="e">
        <f>AND(Data!#REF!,"AAAAAF5j3UI=")</f>
        <v>#REF!</v>
      </c>
      <c r="BP11" t="e">
        <f>AND(Data!#REF!,"AAAAAF5j3UM=")</f>
        <v>#REF!</v>
      </c>
      <c r="BQ11" t="e">
        <f>AND(Data!#REF!,"AAAAAF5j3UQ=")</f>
        <v>#REF!</v>
      </c>
      <c r="BR11" t="e">
        <f>AND(Data!#REF!,"AAAAAF5j3UU=")</f>
        <v>#REF!</v>
      </c>
      <c r="BS11" t="e">
        <f>AND(Data!#REF!,"AAAAAF5j3UY=")</f>
        <v>#REF!</v>
      </c>
      <c r="BT11" t="e">
        <f>AND(Data!#REF!,"AAAAAF5j3Uc=")</f>
        <v>#REF!</v>
      </c>
      <c r="BU11">
        <f>IF(Data!70:70,"AAAAAF5j3Ug=",0)</f>
        <v>0</v>
      </c>
      <c r="BV11" t="e">
        <f>AND(Data!A70,"AAAAAF5j3Uk=")</f>
        <v>#VALUE!</v>
      </c>
      <c r="BW11" t="e">
        <f>AND(Data!B70,"AAAAAF5j3Uo=")</f>
        <v>#VALUE!</v>
      </c>
      <c r="BX11" t="e">
        <f>AND(Data!C70,"AAAAAF5j3Us=")</f>
        <v>#VALUE!</v>
      </c>
      <c r="BY11" t="e">
        <f>AND(Data!D70,"AAAAAF5j3Uw=")</f>
        <v>#VALUE!</v>
      </c>
      <c r="BZ11" t="e">
        <f>AND(Data!E70,"AAAAAF5j3U0=")</f>
        <v>#VALUE!</v>
      </c>
      <c r="CA11" t="e">
        <f>AND(Data!F70,"AAAAAF5j3U4=")</f>
        <v>#VALUE!</v>
      </c>
      <c r="CB11" t="e">
        <f>AND(Data!G70,"AAAAAF5j3U8=")</f>
        <v>#VALUE!</v>
      </c>
      <c r="CC11" t="e">
        <f>AND(Data!H70,"AAAAAF5j3VA=")</f>
        <v>#VALUE!</v>
      </c>
      <c r="CD11" t="e">
        <f>AND(Data!I70,"AAAAAF5j3VE=")</f>
        <v>#VALUE!</v>
      </c>
      <c r="CE11" t="e">
        <f>AND(Data!J70,"AAAAAF5j3VI=")</f>
        <v>#VALUE!</v>
      </c>
      <c r="CF11" t="e">
        <f>AND(Data!K70,"AAAAAF5j3VM=")</f>
        <v>#VALUE!</v>
      </c>
      <c r="CG11" t="e">
        <f>AND(Data!L70,"AAAAAF5j3VQ=")</f>
        <v>#VALUE!</v>
      </c>
      <c r="CH11" t="e">
        <f>AND(Data!M70,"AAAAAF5j3VU=")</f>
        <v>#VALUE!</v>
      </c>
      <c r="CI11" t="e">
        <f>AND(Data!N70,"AAAAAF5j3VY=")</f>
        <v>#VALUE!</v>
      </c>
      <c r="CJ11" t="e">
        <f>AND(Data!O70,"AAAAAF5j3Vc=")</f>
        <v>#VALUE!</v>
      </c>
      <c r="CK11" t="e">
        <f>AND(Data!P70,"AAAAAF5j3Vg=")</f>
        <v>#VALUE!</v>
      </c>
      <c r="CL11" t="e">
        <f>AND(Data!Q70,"AAAAAF5j3Vk=")</f>
        <v>#VALUE!</v>
      </c>
      <c r="CM11" t="e">
        <f>AND(Data!#REF!,"AAAAAF5j3Vo=")</f>
        <v>#REF!</v>
      </c>
      <c r="CN11" t="e">
        <f>AND(Data!#REF!,"AAAAAF5j3Vs=")</f>
        <v>#REF!</v>
      </c>
      <c r="CO11" t="e">
        <f>AND(Data!#REF!,"AAAAAF5j3Vw=")</f>
        <v>#REF!</v>
      </c>
      <c r="CP11" t="e">
        <f>AND(Data!#REF!,"AAAAAF5j3V0=")</f>
        <v>#REF!</v>
      </c>
      <c r="CQ11" t="e">
        <f>AND(Data!#REF!,"AAAAAF5j3V4=")</f>
        <v>#REF!</v>
      </c>
      <c r="CR11" t="e">
        <f>AND(Data!#REF!,"AAAAAF5j3V8=")</f>
        <v>#REF!</v>
      </c>
      <c r="CS11" t="e">
        <f>AND(Data!#REF!,"AAAAAF5j3WA=")</f>
        <v>#REF!</v>
      </c>
      <c r="CT11" t="e">
        <f>AND(Data!#REF!,"AAAAAF5j3WE=")</f>
        <v>#REF!</v>
      </c>
      <c r="CU11" t="e">
        <f>AND(Data!#REF!,"AAAAAF5j3WI=")</f>
        <v>#REF!</v>
      </c>
      <c r="CV11" t="e">
        <f>AND(Data!#REF!,"AAAAAF5j3WM=")</f>
        <v>#REF!</v>
      </c>
      <c r="CW11">
        <f>IF(Data!71:71,"AAAAAF5j3WQ=",0)</f>
        <v>0</v>
      </c>
      <c r="CX11" t="e">
        <f>AND(Data!A71,"AAAAAF5j3WU=")</f>
        <v>#VALUE!</v>
      </c>
      <c r="CY11" t="e">
        <f>AND(Data!B71,"AAAAAF5j3WY=")</f>
        <v>#VALUE!</v>
      </c>
      <c r="CZ11" t="e">
        <f>AND(Data!C71,"AAAAAF5j3Wc=")</f>
        <v>#VALUE!</v>
      </c>
      <c r="DA11" t="e">
        <f>AND(Data!D71,"AAAAAF5j3Wg=")</f>
        <v>#VALUE!</v>
      </c>
      <c r="DB11" t="e">
        <f>AND(Data!E71,"AAAAAF5j3Wk=")</f>
        <v>#VALUE!</v>
      </c>
      <c r="DC11" t="e">
        <f>AND(Data!F71,"AAAAAF5j3Wo=")</f>
        <v>#VALUE!</v>
      </c>
      <c r="DD11" t="e">
        <f>AND(Data!G71,"AAAAAF5j3Ws=")</f>
        <v>#VALUE!</v>
      </c>
      <c r="DE11" t="e">
        <f>AND(Data!H71,"AAAAAF5j3Ww=")</f>
        <v>#VALUE!</v>
      </c>
      <c r="DF11" t="e">
        <f>AND(Data!I71,"AAAAAF5j3W0=")</f>
        <v>#VALUE!</v>
      </c>
      <c r="DG11" t="e">
        <f>AND(Data!J71,"AAAAAF5j3W4=")</f>
        <v>#VALUE!</v>
      </c>
      <c r="DH11" t="e">
        <f>AND(Data!K71,"AAAAAF5j3W8=")</f>
        <v>#VALUE!</v>
      </c>
      <c r="DI11" t="e">
        <f>AND(Data!L71,"AAAAAF5j3XA=")</f>
        <v>#VALUE!</v>
      </c>
      <c r="DJ11" t="e">
        <f>AND(Data!M71,"AAAAAF5j3XE=")</f>
        <v>#VALUE!</v>
      </c>
      <c r="DK11" t="e">
        <f>AND(Data!N71,"AAAAAF5j3XI=")</f>
        <v>#VALUE!</v>
      </c>
      <c r="DL11" t="e">
        <f>AND(Data!O71,"AAAAAF5j3XM=")</f>
        <v>#VALUE!</v>
      </c>
      <c r="DM11" t="e">
        <f>AND(Data!P71,"AAAAAF5j3XQ=")</f>
        <v>#VALUE!</v>
      </c>
      <c r="DN11" t="e">
        <f>AND(Data!Q71,"AAAAAF5j3XU=")</f>
        <v>#VALUE!</v>
      </c>
      <c r="DO11" t="e">
        <f>AND(Data!#REF!,"AAAAAF5j3XY=")</f>
        <v>#REF!</v>
      </c>
      <c r="DP11" t="e">
        <f>AND(Data!#REF!,"AAAAAF5j3Xc=")</f>
        <v>#REF!</v>
      </c>
      <c r="DQ11" t="e">
        <f>AND(Data!#REF!,"AAAAAF5j3Xg=")</f>
        <v>#REF!</v>
      </c>
      <c r="DR11" t="e">
        <f>AND(Data!#REF!,"AAAAAF5j3Xk=")</f>
        <v>#REF!</v>
      </c>
      <c r="DS11" t="e">
        <f>AND(Data!#REF!,"AAAAAF5j3Xo=")</f>
        <v>#REF!</v>
      </c>
      <c r="DT11" t="e">
        <f>AND(Data!#REF!,"AAAAAF5j3Xs=")</f>
        <v>#REF!</v>
      </c>
      <c r="DU11" t="e">
        <f>AND(Data!#REF!,"AAAAAF5j3Xw=")</f>
        <v>#REF!</v>
      </c>
      <c r="DV11" t="e">
        <f>AND(Data!#REF!,"AAAAAF5j3X0=")</f>
        <v>#REF!</v>
      </c>
      <c r="DW11" t="e">
        <f>AND(Data!#REF!,"AAAAAF5j3X4=")</f>
        <v>#REF!</v>
      </c>
      <c r="DX11" t="e">
        <f>AND(Data!#REF!,"AAAAAF5j3X8=")</f>
        <v>#REF!</v>
      </c>
      <c r="DY11">
        <f>IF(Data!72:72,"AAAAAF5j3YA=",0)</f>
        <v>0</v>
      </c>
      <c r="DZ11" t="e">
        <f>AND(Data!A72,"AAAAAF5j3YE=")</f>
        <v>#VALUE!</v>
      </c>
      <c r="EA11" t="e">
        <f>AND(Data!B72,"AAAAAF5j3YI=")</f>
        <v>#VALUE!</v>
      </c>
      <c r="EB11" t="e">
        <f>AND(Data!C72,"AAAAAF5j3YM=")</f>
        <v>#VALUE!</v>
      </c>
      <c r="EC11" t="e">
        <f>AND(Data!D72,"AAAAAF5j3YQ=")</f>
        <v>#VALUE!</v>
      </c>
      <c r="ED11" t="e">
        <f>AND(Data!E72,"AAAAAF5j3YU=")</f>
        <v>#VALUE!</v>
      </c>
      <c r="EE11" t="e">
        <f>AND(Data!F72,"AAAAAF5j3YY=")</f>
        <v>#VALUE!</v>
      </c>
      <c r="EF11" t="e">
        <f>AND(Data!G72,"AAAAAF5j3Yc=")</f>
        <v>#VALUE!</v>
      </c>
      <c r="EG11" t="e">
        <f>AND(Data!H72,"AAAAAF5j3Yg=")</f>
        <v>#VALUE!</v>
      </c>
      <c r="EH11" t="e">
        <f>AND(Data!I72,"AAAAAF5j3Yk=")</f>
        <v>#VALUE!</v>
      </c>
      <c r="EI11" t="e">
        <f>AND(Data!J72,"AAAAAF5j3Yo=")</f>
        <v>#VALUE!</v>
      </c>
      <c r="EJ11" t="e">
        <f>AND(Data!K72,"AAAAAF5j3Ys=")</f>
        <v>#VALUE!</v>
      </c>
      <c r="EK11" t="e">
        <f>AND(Data!L72,"AAAAAF5j3Yw=")</f>
        <v>#VALUE!</v>
      </c>
      <c r="EL11" t="e">
        <f>AND(Data!M72,"AAAAAF5j3Y0=")</f>
        <v>#VALUE!</v>
      </c>
      <c r="EM11" t="e">
        <f>AND(Data!N72,"AAAAAF5j3Y4=")</f>
        <v>#VALUE!</v>
      </c>
      <c r="EN11" t="e">
        <f>AND(Data!O72,"AAAAAF5j3Y8=")</f>
        <v>#VALUE!</v>
      </c>
      <c r="EO11" t="e">
        <f>AND(Data!P72,"AAAAAF5j3ZA=")</f>
        <v>#VALUE!</v>
      </c>
      <c r="EP11" t="e">
        <f>AND(Data!Q72,"AAAAAF5j3ZE=")</f>
        <v>#VALUE!</v>
      </c>
      <c r="EQ11" t="e">
        <f>AND(Data!#REF!,"AAAAAF5j3ZI=")</f>
        <v>#REF!</v>
      </c>
      <c r="ER11" t="e">
        <f>AND(Data!#REF!,"AAAAAF5j3ZM=")</f>
        <v>#REF!</v>
      </c>
      <c r="ES11" t="e">
        <f>AND(Data!#REF!,"AAAAAF5j3ZQ=")</f>
        <v>#REF!</v>
      </c>
      <c r="ET11" t="e">
        <f>AND(Data!#REF!,"AAAAAF5j3ZU=")</f>
        <v>#REF!</v>
      </c>
      <c r="EU11" t="e">
        <f>AND(Data!#REF!,"AAAAAF5j3ZY=")</f>
        <v>#REF!</v>
      </c>
      <c r="EV11" t="e">
        <f>AND(Data!#REF!,"AAAAAF5j3Zc=")</f>
        <v>#REF!</v>
      </c>
      <c r="EW11" t="e">
        <f>AND(Data!#REF!,"AAAAAF5j3Zg=")</f>
        <v>#REF!</v>
      </c>
      <c r="EX11" t="e">
        <f>AND(Data!#REF!,"AAAAAF5j3Zk=")</f>
        <v>#REF!</v>
      </c>
      <c r="EY11" t="e">
        <f>AND(Data!#REF!,"AAAAAF5j3Zo=")</f>
        <v>#REF!</v>
      </c>
      <c r="EZ11" t="e">
        <f>AND(Data!#REF!,"AAAAAF5j3Zs=")</f>
        <v>#REF!</v>
      </c>
      <c r="FA11">
        <f>IF(Data!73:73,"AAAAAF5j3Zw=",0)</f>
        <v>0</v>
      </c>
      <c r="FB11" t="e">
        <f>AND(Data!A73,"AAAAAF5j3Z0=")</f>
        <v>#VALUE!</v>
      </c>
      <c r="FC11" t="e">
        <f>AND(Data!B73,"AAAAAF5j3Z4=")</f>
        <v>#VALUE!</v>
      </c>
      <c r="FD11" t="e">
        <f>AND(Data!C73,"AAAAAF5j3Z8=")</f>
        <v>#VALUE!</v>
      </c>
      <c r="FE11" t="e">
        <f>AND(Data!D73,"AAAAAF5j3aA=")</f>
        <v>#VALUE!</v>
      </c>
      <c r="FF11" t="e">
        <f>AND(Data!E73,"AAAAAF5j3aE=")</f>
        <v>#VALUE!</v>
      </c>
      <c r="FG11" t="e">
        <f>AND(Data!F73,"AAAAAF5j3aI=")</f>
        <v>#VALUE!</v>
      </c>
      <c r="FH11" t="e">
        <f>AND(Data!G73,"AAAAAF5j3aM=")</f>
        <v>#VALUE!</v>
      </c>
      <c r="FI11" t="e">
        <f>AND(Data!H73,"AAAAAF5j3aQ=")</f>
        <v>#VALUE!</v>
      </c>
      <c r="FJ11" t="e">
        <f>AND(Data!I73,"AAAAAF5j3aU=")</f>
        <v>#VALUE!</v>
      </c>
      <c r="FK11" t="e">
        <f>AND(Data!J73,"AAAAAF5j3aY=")</f>
        <v>#VALUE!</v>
      </c>
      <c r="FL11" t="e">
        <f>AND(Data!K73,"AAAAAF5j3ac=")</f>
        <v>#VALUE!</v>
      </c>
      <c r="FM11" t="e">
        <f>AND(Data!L73,"AAAAAF5j3ag=")</f>
        <v>#VALUE!</v>
      </c>
      <c r="FN11" t="e">
        <f>AND(Data!M73,"AAAAAF5j3ak=")</f>
        <v>#VALUE!</v>
      </c>
      <c r="FO11" t="e">
        <f>AND(Data!N73,"AAAAAF5j3ao=")</f>
        <v>#VALUE!</v>
      </c>
      <c r="FP11" t="e">
        <f>AND(Data!O73,"AAAAAF5j3as=")</f>
        <v>#VALUE!</v>
      </c>
      <c r="FQ11" t="e">
        <f>AND(Data!P73,"AAAAAF5j3aw=")</f>
        <v>#VALUE!</v>
      </c>
      <c r="FR11" t="e">
        <f>AND(Data!Q73,"AAAAAF5j3a0=")</f>
        <v>#VALUE!</v>
      </c>
      <c r="FS11" t="e">
        <f>AND(Data!#REF!,"AAAAAF5j3a4=")</f>
        <v>#REF!</v>
      </c>
      <c r="FT11" t="e">
        <f>AND(Data!#REF!,"AAAAAF5j3a8=")</f>
        <v>#REF!</v>
      </c>
      <c r="FU11" t="e">
        <f>AND(Data!#REF!,"AAAAAF5j3bA=")</f>
        <v>#REF!</v>
      </c>
      <c r="FV11" t="e">
        <f>AND(Data!#REF!,"AAAAAF5j3bE=")</f>
        <v>#REF!</v>
      </c>
      <c r="FW11" t="e">
        <f>AND(Data!#REF!,"AAAAAF5j3bI=")</f>
        <v>#REF!</v>
      </c>
      <c r="FX11" t="e">
        <f>AND(Data!#REF!,"AAAAAF5j3bM=")</f>
        <v>#REF!</v>
      </c>
      <c r="FY11" t="e">
        <f>AND(Data!#REF!,"AAAAAF5j3bQ=")</f>
        <v>#REF!</v>
      </c>
      <c r="FZ11" t="e">
        <f>AND(Data!#REF!,"AAAAAF5j3bU=")</f>
        <v>#REF!</v>
      </c>
      <c r="GA11" t="e">
        <f>AND(Data!#REF!,"AAAAAF5j3bY=")</f>
        <v>#REF!</v>
      </c>
      <c r="GB11" t="e">
        <f>AND(Data!#REF!,"AAAAAF5j3bc=")</f>
        <v>#REF!</v>
      </c>
      <c r="GC11">
        <f>IF(Data!74:74,"AAAAAF5j3bg=",0)</f>
        <v>0</v>
      </c>
      <c r="GD11" t="e">
        <f>AND(Data!A74,"AAAAAF5j3bk=")</f>
        <v>#VALUE!</v>
      </c>
      <c r="GE11" t="e">
        <f>AND(Data!B74,"AAAAAF5j3bo=")</f>
        <v>#VALUE!</v>
      </c>
      <c r="GF11" t="e">
        <f>AND(Data!C74,"AAAAAF5j3bs=")</f>
        <v>#VALUE!</v>
      </c>
      <c r="GG11" t="e">
        <f>AND(Data!D74,"AAAAAF5j3bw=")</f>
        <v>#VALUE!</v>
      </c>
      <c r="GH11" t="e">
        <f>AND(Data!E74,"AAAAAF5j3b0=")</f>
        <v>#VALUE!</v>
      </c>
      <c r="GI11" t="e">
        <f>AND(Data!F74,"AAAAAF5j3b4=")</f>
        <v>#VALUE!</v>
      </c>
      <c r="GJ11" t="e">
        <f>AND(Data!G74,"AAAAAF5j3b8=")</f>
        <v>#VALUE!</v>
      </c>
      <c r="GK11" t="e">
        <f>AND(Data!H74,"AAAAAF5j3cA=")</f>
        <v>#VALUE!</v>
      </c>
      <c r="GL11" t="e">
        <f>AND(Data!I74,"AAAAAF5j3cE=")</f>
        <v>#VALUE!</v>
      </c>
      <c r="GM11" t="e">
        <f>AND(Data!J74,"AAAAAF5j3cI=")</f>
        <v>#VALUE!</v>
      </c>
      <c r="GN11" t="e">
        <f>AND(Data!K74,"AAAAAF5j3cM=")</f>
        <v>#VALUE!</v>
      </c>
      <c r="GO11" t="e">
        <f>AND(Data!L74,"AAAAAF5j3cQ=")</f>
        <v>#VALUE!</v>
      </c>
      <c r="GP11" t="e">
        <f>AND(Data!M74,"AAAAAF5j3cU=")</f>
        <v>#VALUE!</v>
      </c>
      <c r="GQ11" t="e">
        <f>AND(Data!N74,"AAAAAF5j3cY=")</f>
        <v>#VALUE!</v>
      </c>
      <c r="GR11" t="e">
        <f>AND(Data!O74,"AAAAAF5j3cc=")</f>
        <v>#VALUE!</v>
      </c>
      <c r="GS11" t="e">
        <f>AND(Data!P74,"AAAAAF5j3cg=")</f>
        <v>#VALUE!</v>
      </c>
      <c r="GT11" t="e">
        <f>AND(Data!Q74,"AAAAAF5j3ck=")</f>
        <v>#VALUE!</v>
      </c>
      <c r="GU11" t="e">
        <f>AND(Data!#REF!,"AAAAAF5j3co=")</f>
        <v>#REF!</v>
      </c>
      <c r="GV11" t="e">
        <f>AND(Data!#REF!,"AAAAAF5j3cs=")</f>
        <v>#REF!</v>
      </c>
      <c r="GW11" t="e">
        <f>AND(Data!#REF!,"AAAAAF5j3cw=")</f>
        <v>#REF!</v>
      </c>
      <c r="GX11" t="e">
        <f>AND(Data!#REF!,"AAAAAF5j3c0=")</f>
        <v>#REF!</v>
      </c>
      <c r="GY11" t="e">
        <f>AND(Data!#REF!,"AAAAAF5j3c4=")</f>
        <v>#REF!</v>
      </c>
      <c r="GZ11" t="e">
        <f>AND(Data!#REF!,"AAAAAF5j3c8=")</f>
        <v>#REF!</v>
      </c>
      <c r="HA11" t="e">
        <f>AND(Data!#REF!,"AAAAAF5j3dA=")</f>
        <v>#REF!</v>
      </c>
      <c r="HB11" t="e">
        <f>AND(Data!#REF!,"AAAAAF5j3dE=")</f>
        <v>#REF!</v>
      </c>
      <c r="HC11" t="e">
        <f>AND(Data!#REF!,"AAAAAF5j3dI=")</f>
        <v>#REF!</v>
      </c>
      <c r="HD11" t="e">
        <f>AND(Data!#REF!,"AAAAAF5j3dM=")</f>
        <v>#REF!</v>
      </c>
      <c r="HE11">
        <f>IF(Data!75:75,"AAAAAF5j3dQ=",0)</f>
        <v>0</v>
      </c>
      <c r="HF11" t="e">
        <f>AND(Data!A75,"AAAAAF5j3dU=")</f>
        <v>#VALUE!</v>
      </c>
      <c r="HG11" t="e">
        <f>AND(Data!B75,"AAAAAF5j3dY=")</f>
        <v>#VALUE!</v>
      </c>
      <c r="HH11" t="e">
        <f>AND(Data!C75,"AAAAAF5j3dc=")</f>
        <v>#VALUE!</v>
      </c>
      <c r="HI11" t="e">
        <f>AND(Data!D75,"AAAAAF5j3dg=")</f>
        <v>#VALUE!</v>
      </c>
      <c r="HJ11" t="e">
        <f>AND(Data!E75,"AAAAAF5j3dk=")</f>
        <v>#VALUE!</v>
      </c>
      <c r="HK11" t="e">
        <f>AND(Data!F75,"AAAAAF5j3do=")</f>
        <v>#VALUE!</v>
      </c>
      <c r="HL11" t="e">
        <f>AND(Data!G75,"AAAAAF5j3ds=")</f>
        <v>#VALUE!</v>
      </c>
      <c r="HM11" t="e">
        <f>AND(Data!H75,"AAAAAF5j3dw=")</f>
        <v>#VALUE!</v>
      </c>
      <c r="HN11" t="e">
        <f>AND(Data!I75,"AAAAAF5j3d0=")</f>
        <v>#VALUE!</v>
      </c>
      <c r="HO11" t="e">
        <f>AND(Data!J75,"AAAAAF5j3d4=")</f>
        <v>#VALUE!</v>
      </c>
      <c r="HP11" t="e">
        <f>AND(Data!K75,"AAAAAF5j3d8=")</f>
        <v>#VALUE!</v>
      </c>
      <c r="HQ11" t="e">
        <f>AND(Data!L75,"AAAAAF5j3eA=")</f>
        <v>#VALUE!</v>
      </c>
      <c r="HR11" t="e">
        <f>AND(Data!M75,"AAAAAF5j3eE=")</f>
        <v>#VALUE!</v>
      </c>
      <c r="HS11" t="e">
        <f>AND(Data!N75,"AAAAAF5j3eI=")</f>
        <v>#VALUE!</v>
      </c>
      <c r="HT11" t="e">
        <f>AND(Data!O75,"AAAAAF5j3eM=")</f>
        <v>#VALUE!</v>
      </c>
      <c r="HU11" t="e">
        <f>AND(Data!P75,"AAAAAF5j3eQ=")</f>
        <v>#VALUE!</v>
      </c>
      <c r="HV11" t="e">
        <f>AND(Data!Q75,"AAAAAF5j3eU=")</f>
        <v>#VALUE!</v>
      </c>
      <c r="HW11" t="e">
        <f>AND(Data!#REF!,"AAAAAF5j3eY=")</f>
        <v>#REF!</v>
      </c>
      <c r="HX11" t="e">
        <f>AND(Data!#REF!,"AAAAAF5j3ec=")</f>
        <v>#REF!</v>
      </c>
      <c r="HY11" t="e">
        <f>AND(Data!#REF!,"AAAAAF5j3eg=")</f>
        <v>#REF!</v>
      </c>
      <c r="HZ11" t="e">
        <f>AND(Data!#REF!,"AAAAAF5j3ek=")</f>
        <v>#REF!</v>
      </c>
      <c r="IA11" t="e">
        <f>AND(Data!#REF!,"AAAAAF5j3eo=")</f>
        <v>#REF!</v>
      </c>
      <c r="IB11" t="e">
        <f>AND(Data!#REF!,"AAAAAF5j3es=")</f>
        <v>#REF!</v>
      </c>
      <c r="IC11" t="e">
        <f>AND(Data!#REF!,"AAAAAF5j3ew=")</f>
        <v>#REF!</v>
      </c>
      <c r="ID11" t="e">
        <f>AND(Data!#REF!,"AAAAAF5j3e0=")</f>
        <v>#REF!</v>
      </c>
      <c r="IE11" t="e">
        <f>AND(Data!#REF!,"AAAAAF5j3e4=")</f>
        <v>#REF!</v>
      </c>
      <c r="IF11" t="e">
        <f>AND(Data!#REF!,"AAAAAF5j3e8=")</f>
        <v>#REF!</v>
      </c>
      <c r="IG11">
        <f>IF(Data!76:76,"AAAAAF5j3fA=",0)</f>
        <v>0</v>
      </c>
      <c r="IH11" t="e">
        <f>AND(Data!A76,"AAAAAF5j3fE=")</f>
        <v>#VALUE!</v>
      </c>
      <c r="II11" t="e">
        <f>AND(Data!B76,"AAAAAF5j3fI=")</f>
        <v>#VALUE!</v>
      </c>
      <c r="IJ11" t="e">
        <f>AND(Data!C76,"AAAAAF5j3fM=")</f>
        <v>#VALUE!</v>
      </c>
      <c r="IK11" t="e">
        <f>AND(Data!D76,"AAAAAF5j3fQ=")</f>
        <v>#VALUE!</v>
      </c>
      <c r="IL11" t="e">
        <f>AND(Data!E76,"AAAAAF5j3fU=")</f>
        <v>#VALUE!</v>
      </c>
      <c r="IM11" t="e">
        <f>AND(Data!F76,"AAAAAF5j3fY=")</f>
        <v>#VALUE!</v>
      </c>
      <c r="IN11" t="e">
        <f>AND(Data!G76,"AAAAAF5j3fc=")</f>
        <v>#VALUE!</v>
      </c>
      <c r="IO11" t="e">
        <f>AND(Data!H76,"AAAAAF5j3fg=")</f>
        <v>#VALUE!</v>
      </c>
      <c r="IP11" t="e">
        <f>AND(Data!I76,"AAAAAF5j3fk=")</f>
        <v>#VALUE!</v>
      </c>
      <c r="IQ11" t="e">
        <f>AND(Data!J76,"AAAAAF5j3fo=")</f>
        <v>#VALUE!</v>
      </c>
      <c r="IR11" t="e">
        <f>AND(Data!K76,"AAAAAF5j3fs=")</f>
        <v>#VALUE!</v>
      </c>
      <c r="IS11" t="e">
        <f>AND(Data!L76,"AAAAAF5j3fw=")</f>
        <v>#VALUE!</v>
      </c>
      <c r="IT11" t="e">
        <f>AND(Data!M76,"AAAAAF5j3f0=")</f>
        <v>#VALUE!</v>
      </c>
      <c r="IU11" t="e">
        <f>AND(Data!N76,"AAAAAF5j3f4=")</f>
        <v>#VALUE!</v>
      </c>
      <c r="IV11" t="e">
        <f>AND(Data!O76,"AAAAAF5j3f8=")</f>
        <v>#VALUE!</v>
      </c>
    </row>
    <row r="12" spans="1:256">
      <c r="A12" t="e">
        <f>AND(Data!P76,"AAAAAHK9RwA=")</f>
        <v>#VALUE!</v>
      </c>
      <c r="B12" t="e">
        <f>AND(Data!Q76,"AAAAAHK9RwE=")</f>
        <v>#VALUE!</v>
      </c>
      <c r="C12" t="e">
        <f>AND(Data!#REF!,"AAAAAHK9RwI=")</f>
        <v>#REF!</v>
      </c>
      <c r="D12" t="e">
        <f>AND(Data!#REF!,"AAAAAHK9RwM=")</f>
        <v>#REF!</v>
      </c>
      <c r="E12" t="e">
        <f>AND(Data!#REF!,"AAAAAHK9RwQ=")</f>
        <v>#REF!</v>
      </c>
      <c r="F12" t="e">
        <f>AND(Data!#REF!,"AAAAAHK9RwU=")</f>
        <v>#REF!</v>
      </c>
      <c r="G12" t="e">
        <f>AND(Data!#REF!,"AAAAAHK9RwY=")</f>
        <v>#REF!</v>
      </c>
      <c r="H12" t="e">
        <f>AND(Data!#REF!,"AAAAAHK9Rwc=")</f>
        <v>#REF!</v>
      </c>
      <c r="I12" t="e">
        <f>AND(Data!#REF!,"AAAAAHK9Rwg=")</f>
        <v>#REF!</v>
      </c>
      <c r="J12" t="e">
        <f>AND(Data!#REF!,"AAAAAHK9Rwk=")</f>
        <v>#REF!</v>
      </c>
      <c r="K12" t="e">
        <f>AND(Data!#REF!,"AAAAAHK9Rwo=")</f>
        <v>#REF!</v>
      </c>
      <c r="L12" t="e">
        <f>AND(Data!#REF!,"AAAAAHK9Rws=")</f>
        <v>#REF!</v>
      </c>
      <c r="M12" t="str">
        <f>IF(Data!77:77,"AAAAAHK9Rww=",0)</f>
        <v>AAAAAHK9Rww=</v>
      </c>
      <c r="N12" t="e">
        <f>AND(Data!A77,"AAAAAHK9Rw0=")</f>
        <v>#VALUE!</v>
      </c>
      <c r="O12" t="e">
        <f>AND(Data!B77,"AAAAAHK9Rw4=")</f>
        <v>#VALUE!</v>
      </c>
      <c r="P12" t="e">
        <f>AND(Data!C77,"AAAAAHK9Rw8=")</f>
        <v>#VALUE!</v>
      </c>
      <c r="Q12" t="e">
        <f>AND(Data!D77,"AAAAAHK9RxA=")</f>
        <v>#VALUE!</v>
      </c>
      <c r="R12" t="e">
        <f>AND(Data!E77,"AAAAAHK9RxE=")</f>
        <v>#VALUE!</v>
      </c>
      <c r="S12" t="e">
        <f>AND(Data!F77,"AAAAAHK9RxI=")</f>
        <v>#VALUE!</v>
      </c>
      <c r="T12" t="e">
        <f>AND(Data!G77,"AAAAAHK9RxM=")</f>
        <v>#VALUE!</v>
      </c>
      <c r="U12" t="e">
        <f>AND(Data!H77,"AAAAAHK9RxQ=")</f>
        <v>#VALUE!</v>
      </c>
      <c r="V12" t="e">
        <f>AND(Data!I77,"AAAAAHK9RxU=")</f>
        <v>#VALUE!</v>
      </c>
      <c r="W12" t="e">
        <f>AND(Data!J77,"AAAAAHK9RxY=")</f>
        <v>#VALUE!</v>
      </c>
      <c r="X12" t="e">
        <f>AND(Data!K77,"AAAAAHK9Rxc=")</f>
        <v>#VALUE!</v>
      </c>
      <c r="Y12" t="e">
        <f>AND(Data!L77,"AAAAAHK9Rxg=")</f>
        <v>#VALUE!</v>
      </c>
      <c r="Z12" t="e">
        <f>AND(Data!M77,"AAAAAHK9Rxk=")</f>
        <v>#VALUE!</v>
      </c>
      <c r="AA12" t="e">
        <f>AND(Data!N77,"AAAAAHK9Rxo=")</f>
        <v>#VALUE!</v>
      </c>
      <c r="AB12" t="e">
        <f>AND(Data!O77,"AAAAAHK9Rxs=")</f>
        <v>#VALUE!</v>
      </c>
      <c r="AC12" t="e">
        <f>AND(Data!P77,"AAAAAHK9Rxw=")</f>
        <v>#VALUE!</v>
      </c>
      <c r="AD12" t="e">
        <f>AND(Data!Q77,"AAAAAHK9Rx0=")</f>
        <v>#VALUE!</v>
      </c>
      <c r="AE12" t="e">
        <f>AND(Data!#REF!,"AAAAAHK9Rx4=")</f>
        <v>#REF!</v>
      </c>
      <c r="AF12" t="e">
        <f>AND(Data!#REF!,"AAAAAHK9Rx8=")</f>
        <v>#REF!</v>
      </c>
      <c r="AG12" t="e">
        <f>AND(Data!#REF!,"AAAAAHK9RyA=")</f>
        <v>#REF!</v>
      </c>
      <c r="AH12" t="e">
        <f>AND(Data!#REF!,"AAAAAHK9RyE=")</f>
        <v>#REF!</v>
      </c>
      <c r="AI12" t="e">
        <f>AND(Data!#REF!,"AAAAAHK9RyI=")</f>
        <v>#REF!</v>
      </c>
      <c r="AJ12" t="e">
        <f>AND(Data!#REF!,"AAAAAHK9RyM=")</f>
        <v>#REF!</v>
      </c>
      <c r="AK12" t="e">
        <f>AND(Data!#REF!,"AAAAAHK9RyQ=")</f>
        <v>#REF!</v>
      </c>
      <c r="AL12" t="e">
        <f>AND(Data!#REF!,"AAAAAHK9RyU=")</f>
        <v>#REF!</v>
      </c>
      <c r="AM12" t="e">
        <f>AND(Data!#REF!,"AAAAAHK9RyY=")</f>
        <v>#REF!</v>
      </c>
      <c r="AN12" t="e">
        <f>AND(Data!#REF!,"AAAAAHK9Ryc=")</f>
        <v>#REF!</v>
      </c>
      <c r="AO12">
        <f>IF(Data!78:78,"AAAAAHK9Ryg=",0)</f>
        <v>0</v>
      </c>
      <c r="AP12" t="e">
        <f>AND(Data!A78,"AAAAAHK9Ryk=")</f>
        <v>#VALUE!</v>
      </c>
      <c r="AQ12" t="e">
        <f>AND(Data!B78,"AAAAAHK9Ryo=")</f>
        <v>#VALUE!</v>
      </c>
      <c r="AR12" t="e">
        <f>AND(Data!C78,"AAAAAHK9Rys=")</f>
        <v>#VALUE!</v>
      </c>
      <c r="AS12" t="e">
        <f>AND(Data!D78,"AAAAAHK9Ryw=")</f>
        <v>#VALUE!</v>
      </c>
      <c r="AT12" t="e">
        <f>AND(Data!E78,"AAAAAHK9Ry0=")</f>
        <v>#VALUE!</v>
      </c>
      <c r="AU12" t="e">
        <f>AND(Data!F78,"AAAAAHK9Ry4=")</f>
        <v>#VALUE!</v>
      </c>
      <c r="AV12" t="e">
        <f>AND(Data!G78,"AAAAAHK9Ry8=")</f>
        <v>#VALUE!</v>
      </c>
      <c r="AW12" t="e">
        <f>AND(Data!H78,"AAAAAHK9RzA=")</f>
        <v>#VALUE!</v>
      </c>
      <c r="AX12" t="e">
        <f>AND(Data!I78,"AAAAAHK9RzE=")</f>
        <v>#VALUE!</v>
      </c>
      <c r="AY12" t="e">
        <f>AND(Data!J78,"AAAAAHK9RzI=")</f>
        <v>#VALUE!</v>
      </c>
      <c r="AZ12" t="e">
        <f>AND(Data!K78,"AAAAAHK9RzM=")</f>
        <v>#VALUE!</v>
      </c>
      <c r="BA12" t="e">
        <f>AND(Data!L78,"AAAAAHK9RzQ=")</f>
        <v>#VALUE!</v>
      </c>
      <c r="BB12" t="e">
        <f>AND(Data!M78,"AAAAAHK9RzU=")</f>
        <v>#VALUE!</v>
      </c>
      <c r="BC12" t="e">
        <f>AND(Data!N78,"AAAAAHK9RzY=")</f>
        <v>#VALUE!</v>
      </c>
      <c r="BD12" t="e">
        <f>AND(Data!O78,"AAAAAHK9Rzc=")</f>
        <v>#VALUE!</v>
      </c>
      <c r="BE12" t="e">
        <f>AND(Data!P78,"AAAAAHK9Rzg=")</f>
        <v>#VALUE!</v>
      </c>
      <c r="BF12" t="e">
        <f>AND(Data!Q78,"AAAAAHK9Rzk=")</f>
        <v>#VALUE!</v>
      </c>
      <c r="BG12" t="e">
        <f>AND(Data!#REF!,"AAAAAHK9Rzo=")</f>
        <v>#REF!</v>
      </c>
      <c r="BH12" t="e">
        <f>AND(Data!#REF!,"AAAAAHK9Rzs=")</f>
        <v>#REF!</v>
      </c>
      <c r="BI12" t="e">
        <f>AND(Data!#REF!,"AAAAAHK9Rzw=")</f>
        <v>#REF!</v>
      </c>
      <c r="BJ12" t="e">
        <f>AND(Data!#REF!,"AAAAAHK9Rz0=")</f>
        <v>#REF!</v>
      </c>
      <c r="BK12" t="e">
        <f>AND(Data!#REF!,"AAAAAHK9Rz4=")</f>
        <v>#REF!</v>
      </c>
      <c r="BL12" t="e">
        <f>AND(Data!#REF!,"AAAAAHK9Rz8=")</f>
        <v>#REF!</v>
      </c>
      <c r="BM12" t="e">
        <f>AND(Data!#REF!,"AAAAAHK9R0A=")</f>
        <v>#REF!</v>
      </c>
      <c r="BN12" t="e">
        <f>AND(Data!#REF!,"AAAAAHK9R0E=")</f>
        <v>#REF!</v>
      </c>
      <c r="BO12" t="e">
        <f>AND(Data!#REF!,"AAAAAHK9R0I=")</f>
        <v>#REF!</v>
      </c>
      <c r="BP12" t="e">
        <f>AND(Data!#REF!,"AAAAAHK9R0M=")</f>
        <v>#REF!</v>
      </c>
      <c r="BQ12">
        <f>IF(Data!79:79,"AAAAAHK9R0Q=",0)</f>
        <v>0</v>
      </c>
      <c r="BR12" t="e">
        <f>AND(Data!A79,"AAAAAHK9R0U=")</f>
        <v>#VALUE!</v>
      </c>
      <c r="BS12" t="e">
        <f>AND(Data!B79,"AAAAAHK9R0Y=")</f>
        <v>#VALUE!</v>
      </c>
      <c r="BT12" t="e">
        <f>AND(Data!C79,"AAAAAHK9R0c=")</f>
        <v>#VALUE!</v>
      </c>
      <c r="BU12" t="e">
        <f>AND(Data!D79,"AAAAAHK9R0g=")</f>
        <v>#VALUE!</v>
      </c>
      <c r="BV12" t="e">
        <f>AND(Data!E79,"AAAAAHK9R0k=")</f>
        <v>#VALUE!</v>
      </c>
      <c r="BW12" t="e">
        <f>AND(Data!F79,"AAAAAHK9R0o=")</f>
        <v>#VALUE!</v>
      </c>
      <c r="BX12" t="e">
        <f>AND(Data!G79,"AAAAAHK9R0s=")</f>
        <v>#VALUE!</v>
      </c>
      <c r="BY12" t="e">
        <f>AND(Data!H79,"AAAAAHK9R0w=")</f>
        <v>#VALUE!</v>
      </c>
      <c r="BZ12" t="e">
        <f>AND(Data!I79,"AAAAAHK9R00=")</f>
        <v>#VALUE!</v>
      </c>
      <c r="CA12" t="e">
        <f>AND(Data!J79,"AAAAAHK9R04=")</f>
        <v>#VALUE!</v>
      </c>
      <c r="CB12" t="e">
        <f>AND(Data!K79,"AAAAAHK9R08=")</f>
        <v>#VALUE!</v>
      </c>
      <c r="CC12" t="e">
        <f>AND(Data!L79,"AAAAAHK9R1A=")</f>
        <v>#VALUE!</v>
      </c>
      <c r="CD12" t="e">
        <f>AND(Data!M79,"AAAAAHK9R1E=")</f>
        <v>#VALUE!</v>
      </c>
      <c r="CE12" t="e">
        <f>AND(Data!N79,"AAAAAHK9R1I=")</f>
        <v>#VALUE!</v>
      </c>
      <c r="CF12" t="e">
        <f>AND(Data!O79,"AAAAAHK9R1M=")</f>
        <v>#VALUE!</v>
      </c>
      <c r="CG12" t="e">
        <f>AND(Data!P79,"AAAAAHK9R1Q=")</f>
        <v>#VALUE!</v>
      </c>
      <c r="CH12" t="e">
        <f>AND(Data!Q79,"AAAAAHK9R1U=")</f>
        <v>#VALUE!</v>
      </c>
      <c r="CI12" t="e">
        <f>AND(Data!#REF!,"AAAAAHK9R1Y=")</f>
        <v>#REF!</v>
      </c>
      <c r="CJ12" t="e">
        <f>AND(Data!#REF!,"AAAAAHK9R1c=")</f>
        <v>#REF!</v>
      </c>
      <c r="CK12" t="e">
        <f>AND(Data!#REF!,"AAAAAHK9R1g=")</f>
        <v>#REF!</v>
      </c>
      <c r="CL12" t="e">
        <f>AND(Data!#REF!,"AAAAAHK9R1k=")</f>
        <v>#REF!</v>
      </c>
      <c r="CM12" t="e">
        <f>AND(Data!#REF!,"AAAAAHK9R1o=")</f>
        <v>#REF!</v>
      </c>
      <c r="CN12" t="e">
        <f>AND(Data!#REF!,"AAAAAHK9R1s=")</f>
        <v>#REF!</v>
      </c>
      <c r="CO12" t="e">
        <f>AND(Data!#REF!,"AAAAAHK9R1w=")</f>
        <v>#REF!</v>
      </c>
      <c r="CP12" t="e">
        <f>AND(Data!#REF!,"AAAAAHK9R10=")</f>
        <v>#REF!</v>
      </c>
      <c r="CQ12" t="e">
        <f>AND(Data!#REF!,"AAAAAHK9R14=")</f>
        <v>#REF!</v>
      </c>
      <c r="CR12" t="e">
        <f>AND(Data!#REF!,"AAAAAHK9R18=")</f>
        <v>#REF!</v>
      </c>
      <c r="CS12">
        <f>IF(Data!80:80,"AAAAAHK9R2A=",0)</f>
        <v>0</v>
      </c>
      <c r="CT12" t="e">
        <f>AND(Data!A80,"AAAAAHK9R2E=")</f>
        <v>#VALUE!</v>
      </c>
      <c r="CU12" t="e">
        <f>AND(Data!B80,"AAAAAHK9R2I=")</f>
        <v>#VALUE!</v>
      </c>
      <c r="CV12" t="e">
        <f>AND(Data!C80,"AAAAAHK9R2M=")</f>
        <v>#VALUE!</v>
      </c>
      <c r="CW12" t="e">
        <f>AND(Data!D80,"AAAAAHK9R2Q=")</f>
        <v>#VALUE!</v>
      </c>
      <c r="CX12" t="e">
        <f>AND(Data!E80,"AAAAAHK9R2U=")</f>
        <v>#VALUE!</v>
      </c>
      <c r="CY12" t="e">
        <f>AND(Data!F80,"AAAAAHK9R2Y=")</f>
        <v>#VALUE!</v>
      </c>
      <c r="CZ12" t="e">
        <f>AND(Data!G80,"AAAAAHK9R2c=")</f>
        <v>#VALUE!</v>
      </c>
      <c r="DA12" t="e">
        <f>AND(Data!H80,"AAAAAHK9R2g=")</f>
        <v>#VALUE!</v>
      </c>
      <c r="DB12" t="e">
        <f>AND(Data!I80,"AAAAAHK9R2k=")</f>
        <v>#VALUE!</v>
      </c>
      <c r="DC12" t="e">
        <f>AND(Data!J80,"AAAAAHK9R2o=")</f>
        <v>#VALUE!</v>
      </c>
      <c r="DD12" t="e">
        <f>AND(Data!K80,"AAAAAHK9R2s=")</f>
        <v>#VALUE!</v>
      </c>
      <c r="DE12" t="e">
        <f>AND(Data!L80,"AAAAAHK9R2w=")</f>
        <v>#VALUE!</v>
      </c>
      <c r="DF12" t="e">
        <f>AND(Data!M80,"AAAAAHK9R20=")</f>
        <v>#VALUE!</v>
      </c>
      <c r="DG12" t="e">
        <f>AND(Data!N80,"AAAAAHK9R24=")</f>
        <v>#VALUE!</v>
      </c>
      <c r="DH12" t="e">
        <f>AND(Data!O80,"AAAAAHK9R28=")</f>
        <v>#VALUE!</v>
      </c>
      <c r="DI12" t="e">
        <f>AND(Data!P80,"AAAAAHK9R3A=")</f>
        <v>#VALUE!</v>
      </c>
      <c r="DJ12" t="e">
        <f>AND(Data!Q80,"AAAAAHK9R3E=")</f>
        <v>#VALUE!</v>
      </c>
      <c r="DK12" t="e">
        <f>AND(Data!#REF!,"AAAAAHK9R3I=")</f>
        <v>#REF!</v>
      </c>
      <c r="DL12" t="e">
        <f>AND(Data!#REF!,"AAAAAHK9R3M=")</f>
        <v>#REF!</v>
      </c>
      <c r="DM12" t="e">
        <f>AND(Data!#REF!,"AAAAAHK9R3Q=")</f>
        <v>#REF!</v>
      </c>
      <c r="DN12" t="e">
        <f>AND(Data!#REF!,"AAAAAHK9R3U=")</f>
        <v>#REF!</v>
      </c>
      <c r="DO12" t="e">
        <f>AND(Data!#REF!,"AAAAAHK9R3Y=")</f>
        <v>#REF!</v>
      </c>
      <c r="DP12" t="e">
        <f>AND(Data!#REF!,"AAAAAHK9R3c=")</f>
        <v>#REF!</v>
      </c>
      <c r="DQ12" t="e">
        <f>AND(Data!#REF!,"AAAAAHK9R3g=")</f>
        <v>#REF!</v>
      </c>
      <c r="DR12" t="e">
        <f>AND(Data!#REF!,"AAAAAHK9R3k=")</f>
        <v>#REF!</v>
      </c>
      <c r="DS12" t="e">
        <f>AND(Data!#REF!,"AAAAAHK9R3o=")</f>
        <v>#REF!</v>
      </c>
      <c r="DT12" t="e">
        <f>AND(Data!#REF!,"AAAAAHK9R3s=")</f>
        <v>#REF!</v>
      </c>
      <c r="DU12">
        <f>IF(Data!81:81,"AAAAAHK9R3w=",0)</f>
        <v>0</v>
      </c>
      <c r="DV12" t="e">
        <f>AND(Data!A81,"AAAAAHK9R30=")</f>
        <v>#VALUE!</v>
      </c>
      <c r="DW12" t="e">
        <f>AND(Data!B81,"AAAAAHK9R34=")</f>
        <v>#VALUE!</v>
      </c>
      <c r="DX12" t="e">
        <f>AND(Data!C81,"AAAAAHK9R38=")</f>
        <v>#VALUE!</v>
      </c>
      <c r="DY12" t="e">
        <f>AND(Data!D81,"AAAAAHK9R4A=")</f>
        <v>#VALUE!</v>
      </c>
      <c r="DZ12" t="e">
        <f>AND(Data!E81,"AAAAAHK9R4E=")</f>
        <v>#VALUE!</v>
      </c>
      <c r="EA12" t="e">
        <f>AND(Data!F81,"AAAAAHK9R4I=")</f>
        <v>#VALUE!</v>
      </c>
      <c r="EB12" t="e">
        <f>AND(Data!G81,"AAAAAHK9R4M=")</f>
        <v>#VALUE!</v>
      </c>
      <c r="EC12" t="e">
        <f>AND(Data!H81,"AAAAAHK9R4Q=")</f>
        <v>#VALUE!</v>
      </c>
      <c r="ED12" t="e">
        <f>AND(Data!I81,"AAAAAHK9R4U=")</f>
        <v>#VALUE!</v>
      </c>
      <c r="EE12" t="e">
        <f>AND(Data!J81,"AAAAAHK9R4Y=")</f>
        <v>#VALUE!</v>
      </c>
      <c r="EF12" t="e">
        <f>AND(Data!K81,"AAAAAHK9R4c=")</f>
        <v>#VALUE!</v>
      </c>
      <c r="EG12" t="e">
        <f>AND(Data!L81,"AAAAAHK9R4g=")</f>
        <v>#VALUE!</v>
      </c>
      <c r="EH12" t="e">
        <f>AND(Data!M81,"AAAAAHK9R4k=")</f>
        <v>#VALUE!</v>
      </c>
      <c r="EI12" t="e">
        <f>AND(Data!N81,"AAAAAHK9R4o=")</f>
        <v>#VALUE!</v>
      </c>
      <c r="EJ12" t="e">
        <f>AND(Data!O81,"AAAAAHK9R4s=")</f>
        <v>#VALUE!</v>
      </c>
      <c r="EK12" t="e">
        <f>AND(Data!P81,"AAAAAHK9R4w=")</f>
        <v>#VALUE!</v>
      </c>
      <c r="EL12" t="e">
        <f>AND(Data!Q81,"AAAAAHK9R40=")</f>
        <v>#VALUE!</v>
      </c>
      <c r="EM12" t="e">
        <f>AND(Data!#REF!,"AAAAAHK9R44=")</f>
        <v>#REF!</v>
      </c>
      <c r="EN12" t="e">
        <f>AND(Data!#REF!,"AAAAAHK9R48=")</f>
        <v>#REF!</v>
      </c>
      <c r="EO12" t="e">
        <f>AND(Data!#REF!,"AAAAAHK9R5A=")</f>
        <v>#REF!</v>
      </c>
      <c r="EP12" t="e">
        <f>AND(Data!#REF!,"AAAAAHK9R5E=")</f>
        <v>#REF!</v>
      </c>
      <c r="EQ12" t="e">
        <f>AND(Data!#REF!,"AAAAAHK9R5I=")</f>
        <v>#REF!</v>
      </c>
      <c r="ER12" t="e">
        <f>AND(Data!#REF!,"AAAAAHK9R5M=")</f>
        <v>#REF!</v>
      </c>
      <c r="ES12" t="e">
        <f>AND(Data!#REF!,"AAAAAHK9R5Q=")</f>
        <v>#REF!</v>
      </c>
      <c r="ET12" t="e">
        <f>AND(Data!#REF!,"AAAAAHK9R5U=")</f>
        <v>#REF!</v>
      </c>
      <c r="EU12" t="e">
        <f>AND(Data!#REF!,"AAAAAHK9R5Y=")</f>
        <v>#REF!</v>
      </c>
      <c r="EV12" t="e">
        <f>AND(Data!#REF!,"AAAAAHK9R5c=")</f>
        <v>#REF!</v>
      </c>
      <c r="EW12">
        <f>IF(Data!82:82,"AAAAAHK9R5g=",0)</f>
        <v>0</v>
      </c>
      <c r="EX12" t="e">
        <f>AND(Data!A82,"AAAAAHK9R5k=")</f>
        <v>#VALUE!</v>
      </c>
      <c r="EY12" t="e">
        <f>AND(Data!B82,"AAAAAHK9R5o=")</f>
        <v>#VALUE!</v>
      </c>
      <c r="EZ12" t="e">
        <f>AND(Data!C82,"AAAAAHK9R5s=")</f>
        <v>#VALUE!</v>
      </c>
      <c r="FA12" t="e">
        <f>AND(Data!D82,"AAAAAHK9R5w=")</f>
        <v>#VALUE!</v>
      </c>
      <c r="FB12" t="e">
        <f>AND(Data!E82,"AAAAAHK9R50=")</f>
        <v>#VALUE!</v>
      </c>
      <c r="FC12" t="e">
        <f>AND(Data!F82,"AAAAAHK9R54=")</f>
        <v>#VALUE!</v>
      </c>
      <c r="FD12" t="e">
        <f>AND(Data!G82,"AAAAAHK9R58=")</f>
        <v>#VALUE!</v>
      </c>
      <c r="FE12" t="e">
        <f>AND(Data!H82,"AAAAAHK9R6A=")</f>
        <v>#VALUE!</v>
      </c>
      <c r="FF12" t="e">
        <f>AND(Data!I82,"AAAAAHK9R6E=")</f>
        <v>#VALUE!</v>
      </c>
      <c r="FG12" t="e">
        <f>AND(Data!J82,"AAAAAHK9R6I=")</f>
        <v>#VALUE!</v>
      </c>
      <c r="FH12" t="e">
        <f>AND(Data!K82,"AAAAAHK9R6M=")</f>
        <v>#VALUE!</v>
      </c>
      <c r="FI12" t="e">
        <f>AND(Data!L82,"AAAAAHK9R6Q=")</f>
        <v>#VALUE!</v>
      </c>
      <c r="FJ12" t="e">
        <f>AND(Data!M82,"AAAAAHK9R6U=")</f>
        <v>#VALUE!</v>
      </c>
      <c r="FK12" t="e">
        <f>AND(Data!N82,"AAAAAHK9R6Y=")</f>
        <v>#VALUE!</v>
      </c>
      <c r="FL12" t="e">
        <f>AND(Data!O82,"AAAAAHK9R6c=")</f>
        <v>#VALUE!</v>
      </c>
      <c r="FM12" t="e">
        <f>AND(Data!P82,"AAAAAHK9R6g=")</f>
        <v>#VALUE!</v>
      </c>
      <c r="FN12" t="e">
        <f>AND(Data!Q82,"AAAAAHK9R6k=")</f>
        <v>#VALUE!</v>
      </c>
      <c r="FO12" t="e">
        <f>AND(Data!#REF!,"AAAAAHK9R6o=")</f>
        <v>#REF!</v>
      </c>
      <c r="FP12" t="e">
        <f>AND(Data!#REF!,"AAAAAHK9R6s=")</f>
        <v>#REF!</v>
      </c>
      <c r="FQ12" t="e">
        <f>AND(Data!#REF!,"AAAAAHK9R6w=")</f>
        <v>#REF!</v>
      </c>
      <c r="FR12" t="e">
        <f>AND(Data!#REF!,"AAAAAHK9R60=")</f>
        <v>#REF!</v>
      </c>
      <c r="FS12" t="e">
        <f>AND(Data!#REF!,"AAAAAHK9R64=")</f>
        <v>#REF!</v>
      </c>
      <c r="FT12" t="e">
        <f>AND(Data!#REF!,"AAAAAHK9R68=")</f>
        <v>#REF!</v>
      </c>
      <c r="FU12" t="e">
        <f>AND(Data!#REF!,"AAAAAHK9R7A=")</f>
        <v>#REF!</v>
      </c>
      <c r="FV12" t="e">
        <f>AND(Data!#REF!,"AAAAAHK9R7E=")</f>
        <v>#REF!</v>
      </c>
      <c r="FW12" t="e">
        <f>AND(Data!#REF!,"AAAAAHK9R7I=")</f>
        <v>#REF!</v>
      </c>
      <c r="FX12" t="e">
        <f>AND(Data!#REF!,"AAAAAHK9R7M=")</f>
        <v>#REF!</v>
      </c>
      <c r="FY12">
        <f>IF(Data!83:83,"AAAAAHK9R7Q=",0)</f>
        <v>0</v>
      </c>
      <c r="FZ12" t="e">
        <f>AND(Data!A83,"AAAAAHK9R7U=")</f>
        <v>#VALUE!</v>
      </c>
      <c r="GA12" t="e">
        <f>AND(Data!B83,"AAAAAHK9R7Y=")</f>
        <v>#VALUE!</v>
      </c>
      <c r="GB12" t="e">
        <f>AND(Data!C83,"AAAAAHK9R7c=")</f>
        <v>#VALUE!</v>
      </c>
      <c r="GC12" t="e">
        <f>AND(Data!D83,"AAAAAHK9R7g=")</f>
        <v>#VALUE!</v>
      </c>
      <c r="GD12" t="e">
        <f>AND(Data!E83,"AAAAAHK9R7k=")</f>
        <v>#VALUE!</v>
      </c>
      <c r="GE12" t="e">
        <f>AND(Data!F83,"AAAAAHK9R7o=")</f>
        <v>#VALUE!</v>
      </c>
      <c r="GF12" t="e">
        <f>AND(Data!G83,"AAAAAHK9R7s=")</f>
        <v>#VALUE!</v>
      </c>
      <c r="GG12" t="e">
        <f>AND(Data!H83,"AAAAAHK9R7w=")</f>
        <v>#VALUE!</v>
      </c>
      <c r="GH12" t="e">
        <f>AND(Data!I83,"AAAAAHK9R70=")</f>
        <v>#VALUE!</v>
      </c>
      <c r="GI12" t="e">
        <f>AND(Data!J83,"AAAAAHK9R74=")</f>
        <v>#VALUE!</v>
      </c>
      <c r="GJ12" t="e">
        <f>AND(Data!K83,"AAAAAHK9R78=")</f>
        <v>#VALUE!</v>
      </c>
      <c r="GK12" t="e">
        <f>AND(Data!L83,"AAAAAHK9R8A=")</f>
        <v>#VALUE!</v>
      </c>
      <c r="GL12" t="e">
        <f>AND(Data!M83,"AAAAAHK9R8E=")</f>
        <v>#VALUE!</v>
      </c>
      <c r="GM12" t="e">
        <f>AND(Data!N83,"AAAAAHK9R8I=")</f>
        <v>#VALUE!</v>
      </c>
      <c r="GN12" t="e">
        <f>AND(Data!O83,"AAAAAHK9R8M=")</f>
        <v>#VALUE!</v>
      </c>
      <c r="GO12" t="e">
        <f>AND(Data!P83,"AAAAAHK9R8Q=")</f>
        <v>#VALUE!</v>
      </c>
      <c r="GP12" t="e">
        <f>AND(Data!Q83,"AAAAAHK9R8U=")</f>
        <v>#VALUE!</v>
      </c>
      <c r="GQ12" t="e">
        <f>AND(Data!#REF!,"AAAAAHK9R8Y=")</f>
        <v>#REF!</v>
      </c>
      <c r="GR12" t="e">
        <f>AND(Data!#REF!,"AAAAAHK9R8c=")</f>
        <v>#REF!</v>
      </c>
      <c r="GS12" t="e">
        <f>AND(Data!#REF!,"AAAAAHK9R8g=")</f>
        <v>#REF!</v>
      </c>
      <c r="GT12" t="e">
        <f>AND(Data!#REF!,"AAAAAHK9R8k=")</f>
        <v>#REF!</v>
      </c>
      <c r="GU12" t="e">
        <f>AND(Data!#REF!,"AAAAAHK9R8o=")</f>
        <v>#REF!</v>
      </c>
      <c r="GV12" t="e">
        <f>AND(Data!#REF!,"AAAAAHK9R8s=")</f>
        <v>#REF!</v>
      </c>
      <c r="GW12" t="e">
        <f>AND(Data!#REF!,"AAAAAHK9R8w=")</f>
        <v>#REF!</v>
      </c>
      <c r="GX12" t="e">
        <f>AND(Data!#REF!,"AAAAAHK9R80=")</f>
        <v>#REF!</v>
      </c>
      <c r="GY12" t="e">
        <f>AND(Data!#REF!,"AAAAAHK9R84=")</f>
        <v>#REF!</v>
      </c>
      <c r="GZ12" t="e">
        <f>AND(Data!#REF!,"AAAAAHK9R88=")</f>
        <v>#REF!</v>
      </c>
      <c r="HA12">
        <f>IF(Data!84:84,"AAAAAHK9R9A=",0)</f>
        <v>0</v>
      </c>
      <c r="HB12" t="e">
        <f>AND(Data!A84,"AAAAAHK9R9E=")</f>
        <v>#VALUE!</v>
      </c>
      <c r="HC12" t="e">
        <f>AND(Data!B84,"AAAAAHK9R9I=")</f>
        <v>#VALUE!</v>
      </c>
      <c r="HD12" t="e">
        <f>AND(Data!C84,"AAAAAHK9R9M=")</f>
        <v>#VALUE!</v>
      </c>
      <c r="HE12" t="e">
        <f>AND(Data!D84,"AAAAAHK9R9Q=")</f>
        <v>#VALUE!</v>
      </c>
      <c r="HF12" t="e">
        <f>AND(Data!E84,"AAAAAHK9R9U=")</f>
        <v>#VALUE!</v>
      </c>
      <c r="HG12" t="e">
        <f>AND(Data!F84,"AAAAAHK9R9Y=")</f>
        <v>#VALUE!</v>
      </c>
      <c r="HH12" t="e">
        <f>AND(Data!G84,"AAAAAHK9R9c=")</f>
        <v>#VALUE!</v>
      </c>
      <c r="HI12" t="e">
        <f>AND(Data!H84,"AAAAAHK9R9g=")</f>
        <v>#VALUE!</v>
      </c>
      <c r="HJ12" t="e">
        <f>AND(Data!I84,"AAAAAHK9R9k=")</f>
        <v>#VALUE!</v>
      </c>
      <c r="HK12" t="e">
        <f>AND(Data!J84,"AAAAAHK9R9o=")</f>
        <v>#VALUE!</v>
      </c>
      <c r="HL12" t="e">
        <f>AND(Data!K84,"AAAAAHK9R9s=")</f>
        <v>#VALUE!</v>
      </c>
      <c r="HM12" t="e">
        <f>AND(Data!L84,"AAAAAHK9R9w=")</f>
        <v>#VALUE!</v>
      </c>
      <c r="HN12" t="e">
        <f>AND(Data!M84,"AAAAAHK9R90=")</f>
        <v>#VALUE!</v>
      </c>
      <c r="HO12" t="e">
        <f>AND(Data!N84,"AAAAAHK9R94=")</f>
        <v>#VALUE!</v>
      </c>
      <c r="HP12" t="e">
        <f>AND(Data!O84,"AAAAAHK9R98=")</f>
        <v>#VALUE!</v>
      </c>
      <c r="HQ12" t="e">
        <f>AND(Data!P84,"AAAAAHK9R+A=")</f>
        <v>#VALUE!</v>
      </c>
      <c r="HR12" t="e">
        <f>AND(Data!Q84,"AAAAAHK9R+E=")</f>
        <v>#VALUE!</v>
      </c>
      <c r="HS12" t="e">
        <f>AND(Data!#REF!,"AAAAAHK9R+I=")</f>
        <v>#REF!</v>
      </c>
      <c r="HT12" t="e">
        <f>AND(Data!#REF!,"AAAAAHK9R+M=")</f>
        <v>#REF!</v>
      </c>
      <c r="HU12" t="e">
        <f>AND(Data!#REF!,"AAAAAHK9R+Q=")</f>
        <v>#REF!</v>
      </c>
      <c r="HV12" t="e">
        <f>AND(Data!#REF!,"AAAAAHK9R+U=")</f>
        <v>#REF!</v>
      </c>
      <c r="HW12" t="e">
        <f>AND(Data!#REF!,"AAAAAHK9R+Y=")</f>
        <v>#REF!</v>
      </c>
      <c r="HX12" t="e">
        <f>AND(Data!#REF!,"AAAAAHK9R+c=")</f>
        <v>#REF!</v>
      </c>
      <c r="HY12" t="e">
        <f>AND(Data!#REF!,"AAAAAHK9R+g=")</f>
        <v>#REF!</v>
      </c>
      <c r="HZ12" t="e">
        <f>AND(Data!#REF!,"AAAAAHK9R+k=")</f>
        <v>#REF!</v>
      </c>
      <c r="IA12" t="e">
        <f>AND(Data!#REF!,"AAAAAHK9R+o=")</f>
        <v>#REF!</v>
      </c>
      <c r="IB12" t="e">
        <f>AND(Data!#REF!,"AAAAAHK9R+s=")</f>
        <v>#REF!</v>
      </c>
      <c r="IC12">
        <f>IF(Data!85:85,"AAAAAHK9R+w=",0)</f>
        <v>0</v>
      </c>
      <c r="ID12" t="e">
        <f>AND(Data!A85,"AAAAAHK9R+0=")</f>
        <v>#VALUE!</v>
      </c>
      <c r="IE12" t="e">
        <f>AND(Data!B85,"AAAAAHK9R+4=")</f>
        <v>#VALUE!</v>
      </c>
      <c r="IF12" t="e">
        <f>AND(Data!C85,"AAAAAHK9R+8=")</f>
        <v>#VALUE!</v>
      </c>
      <c r="IG12" t="e">
        <f>AND(Data!D85,"AAAAAHK9R/A=")</f>
        <v>#VALUE!</v>
      </c>
      <c r="IH12" t="e">
        <f>AND(Data!E85,"AAAAAHK9R/E=")</f>
        <v>#VALUE!</v>
      </c>
      <c r="II12" t="e">
        <f>AND(Data!F85,"AAAAAHK9R/I=")</f>
        <v>#VALUE!</v>
      </c>
      <c r="IJ12" t="e">
        <f>AND(Data!G85,"AAAAAHK9R/M=")</f>
        <v>#VALUE!</v>
      </c>
      <c r="IK12" t="e">
        <f>AND(Data!H85,"AAAAAHK9R/Q=")</f>
        <v>#VALUE!</v>
      </c>
      <c r="IL12" t="e">
        <f>AND(Data!I85,"AAAAAHK9R/U=")</f>
        <v>#VALUE!</v>
      </c>
      <c r="IM12" t="e">
        <f>AND(Data!J85,"AAAAAHK9R/Y=")</f>
        <v>#VALUE!</v>
      </c>
      <c r="IN12" t="e">
        <f>AND(Data!K85,"AAAAAHK9R/c=")</f>
        <v>#VALUE!</v>
      </c>
      <c r="IO12" t="e">
        <f>AND(Data!L85,"AAAAAHK9R/g=")</f>
        <v>#VALUE!</v>
      </c>
      <c r="IP12" t="e">
        <f>AND(Data!M85,"AAAAAHK9R/k=")</f>
        <v>#VALUE!</v>
      </c>
      <c r="IQ12" t="e">
        <f>AND(Data!N85,"AAAAAHK9R/o=")</f>
        <v>#VALUE!</v>
      </c>
      <c r="IR12" t="e">
        <f>AND(Data!O85,"AAAAAHK9R/s=")</f>
        <v>#VALUE!</v>
      </c>
      <c r="IS12" t="e">
        <f>AND(Data!P85,"AAAAAHK9R/w=")</f>
        <v>#VALUE!</v>
      </c>
      <c r="IT12" t="e">
        <f>AND(Data!Q85,"AAAAAHK9R/0=")</f>
        <v>#VALUE!</v>
      </c>
      <c r="IU12" t="e">
        <f>AND(Data!#REF!,"AAAAAHK9R/4=")</f>
        <v>#REF!</v>
      </c>
      <c r="IV12" t="e">
        <f>AND(Data!#REF!,"AAAAAHK9R/8=")</f>
        <v>#REF!</v>
      </c>
    </row>
    <row r="13" spans="1:256">
      <c r="A13" t="e">
        <f>AND(Data!#REF!,"AAAAAH9P+QA=")</f>
        <v>#REF!</v>
      </c>
      <c r="B13" t="e">
        <f>AND(Data!#REF!,"AAAAAH9P+QE=")</f>
        <v>#REF!</v>
      </c>
      <c r="C13" t="e">
        <f>AND(Data!#REF!,"AAAAAH9P+QI=")</f>
        <v>#REF!</v>
      </c>
      <c r="D13" t="e">
        <f>AND(Data!#REF!,"AAAAAH9P+QM=")</f>
        <v>#REF!</v>
      </c>
      <c r="E13" t="e">
        <f>AND(Data!#REF!,"AAAAAH9P+QQ=")</f>
        <v>#REF!</v>
      </c>
      <c r="F13" t="e">
        <f>AND(Data!#REF!,"AAAAAH9P+QU=")</f>
        <v>#REF!</v>
      </c>
      <c r="G13" t="e">
        <f>AND(Data!#REF!,"AAAAAH9P+QY=")</f>
        <v>#REF!</v>
      </c>
      <c r="H13" t="e">
        <f>AND(Data!#REF!,"AAAAAH9P+Qc=")</f>
        <v>#REF!</v>
      </c>
      <c r="I13" t="str">
        <f>IF(Data!86:86,"AAAAAH9P+Qg=",0)</f>
        <v>AAAAAH9P+Qg=</v>
      </c>
      <c r="J13" t="e">
        <f>AND(Data!A86,"AAAAAH9P+Qk=")</f>
        <v>#VALUE!</v>
      </c>
      <c r="K13" t="e">
        <f>AND(Data!B86,"AAAAAH9P+Qo=")</f>
        <v>#VALUE!</v>
      </c>
      <c r="L13" t="e">
        <f>AND(Data!C86,"AAAAAH9P+Qs=")</f>
        <v>#VALUE!</v>
      </c>
      <c r="M13" t="e">
        <f>AND(Data!D86,"AAAAAH9P+Qw=")</f>
        <v>#VALUE!</v>
      </c>
      <c r="N13" t="e">
        <f>AND(Data!E86,"AAAAAH9P+Q0=")</f>
        <v>#VALUE!</v>
      </c>
      <c r="O13" t="e">
        <f>AND(Data!F86,"AAAAAH9P+Q4=")</f>
        <v>#VALUE!</v>
      </c>
      <c r="P13" t="e">
        <f>AND(Data!G86,"AAAAAH9P+Q8=")</f>
        <v>#VALUE!</v>
      </c>
      <c r="Q13" t="e">
        <f>AND(Data!H86,"AAAAAH9P+RA=")</f>
        <v>#VALUE!</v>
      </c>
      <c r="R13" t="e">
        <f>AND(Data!I86,"AAAAAH9P+RE=")</f>
        <v>#VALUE!</v>
      </c>
      <c r="S13" t="e">
        <f>AND(Data!J86,"AAAAAH9P+RI=")</f>
        <v>#VALUE!</v>
      </c>
      <c r="T13" t="e">
        <f>AND(Data!K86,"AAAAAH9P+RM=")</f>
        <v>#VALUE!</v>
      </c>
      <c r="U13" t="e">
        <f>AND(Data!L86,"AAAAAH9P+RQ=")</f>
        <v>#VALUE!</v>
      </c>
      <c r="V13" t="e">
        <f>AND(Data!M86,"AAAAAH9P+RU=")</f>
        <v>#VALUE!</v>
      </c>
      <c r="W13" t="e">
        <f>AND(Data!N86,"AAAAAH9P+RY=")</f>
        <v>#VALUE!</v>
      </c>
      <c r="X13" t="e">
        <f>AND(Data!O86,"AAAAAH9P+Rc=")</f>
        <v>#VALUE!</v>
      </c>
      <c r="Y13" t="e">
        <f>AND(Data!P86,"AAAAAH9P+Rg=")</f>
        <v>#VALUE!</v>
      </c>
      <c r="Z13" t="e">
        <f>AND(Data!Q86,"AAAAAH9P+Rk=")</f>
        <v>#VALUE!</v>
      </c>
      <c r="AA13" t="e">
        <f>AND(Data!#REF!,"AAAAAH9P+Ro=")</f>
        <v>#REF!</v>
      </c>
      <c r="AB13" t="e">
        <f>AND(Data!#REF!,"AAAAAH9P+Rs=")</f>
        <v>#REF!</v>
      </c>
      <c r="AC13" t="e">
        <f>AND(Data!#REF!,"AAAAAH9P+Rw=")</f>
        <v>#REF!</v>
      </c>
      <c r="AD13" t="e">
        <f>AND(Data!#REF!,"AAAAAH9P+R0=")</f>
        <v>#REF!</v>
      </c>
      <c r="AE13" t="e">
        <f>AND(Data!#REF!,"AAAAAH9P+R4=")</f>
        <v>#REF!</v>
      </c>
      <c r="AF13" t="e">
        <f>AND(Data!#REF!,"AAAAAH9P+R8=")</f>
        <v>#REF!</v>
      </c>
      <c r="AG13" t="e">
        <f>AND(Data!#REF!,"AAAAAH9P+SA=")</f>
        <v>#REF!</v>
      </c>
      <c r="AH13" t="e">
        <f>AND(Data!#REF!,"AAAAAH9P+SE=")</f>
        <v>#REF!</v>
      </c>
      <c r="AI13" t="e">
        <f>AND(Data!#REF!,"AAAAAH9P+SI=")</f>
        <v>#REF!</v>
      </c>
      <c r="AJ13" t="e">
        <f>AND(Data!#REF!,"AAAAAH9P+SM=")</f>
        <v>#REF!</v>
      </c>
      <c r="AK13">
        <f>IF(Data!87:87,"AAAAAH9P+SQ=",0)</f>
        <v>0</v>
      </c>
      <c r="AL13" t="e">
        <f>AND(Data!A87,"AAAAAH9P+SU=")</f>
        <v>#VALUE!</v>
      </c>
      <c r="AM13" t="e">
        <f>AND(Data!B87,"AAAAAH9P+SY=")</f>
        <v>#VALUE!</v>
      </c>
      <c r="AN13" t="e">
        <f>AND(Data!C87,"AAAAAH9P+Sc=")</f>
        <v>#VALUE!</v>
      </c>
      <c r="AO13" t="e">
        <f>AND(Data!D87,"AAAAAH9P+Sg=")</f>
        <v>#VALUE!</v>
      </c>
      <c r="AP13" t="e">
        <f>AND(Data!E87,"AAAAAH9P+Sk=")</f>
        <v>#VALUE!</v>
      </c>
      <c r="AQ13" t="e">
        <f>AND(Data!F87,"AAAAAH9P+So=")</f>
        <v>#VALUE!</v>
      </c>
      <c r="AR13" t="e">
        <f>AND(Data!G87,"AAAAAH9P+Ss=")</f>
        <v>#VALUE!</v>
      </c>
      <c r="AS13" t="e">
        <f>AND(Data!H87,"AAAAAH9P+Sw=")</f>
        <v>#VALUE!</v>
      </c>
      <c r="AT13" t="e">
        <f>AND(Data!I87,"AAAAAH9P+S0=")</f>
        <v>#VALUE!</v>
      </c>
      <c r="AU13" t="e">
        <f>AND(Data!J87,"AAAAAH9P+S4=")</f>
        <v>#VALUE!</v>
      </c>
      <c r="AV13" t="e">
        <f>AND(Data!K87,"AAAAAH9P+S8=")</f>
        <v>#VALUE!</v>
      </c>
      <c r="AW13" t="e">
        <f>AND(Data!L87,"AAAAAH9P+TA=")</f>
        <v>#VALUE!</v>
      </c>
      <c r="AX13" t="e">
        <f>AND(Data!M87,"AAAAAH9P+TE=")</f>
        <v>#VALUE!</v>
      </c>
      <c r="AY13" t="e">
        <f>AND(Data!N87,"AAAAAH9P+TI=")</f>
        <v>#VALUE!</v>
      </c>
      <c r="AZ13" t="e">
        <f>AND(Data!O87,"AAAAAH9P+TM=")</f>
        <v>#VALUE!</v>
      </c>
      <c r="BA13" t="e">
        <f>AND(Data!P87,"AAAAAH9P+TQ=")</f>
        <v>#VALUE!</v>
      </c>
      <c r="BB13" t="e">
        <f>AND(Data!Q87,"AAAAAH9P+TU=")</f>
        <v>#VALUE!</v>
      </c>
      <c r="BC13" t="e">
        <f>AND(Data!#REF!,"AAAAAH9P+TY=")</f>
        <v>#REF!</v>
      </c>
      <c r="BD13" t="e">
        <f>AND(Data!#REF!,"AAAAAH9P+Tc=")</f>
        <v>#REF!</v>
      </c>
      <c r="BE13" t="e">
        <f>AND(Data!#REF!,"AAAAAH9P+Tg=")</f>
        <v>#REF!</v>
      </c>
      <c r="BF13" t="e">
        <f>AND(Data!#REF!,"AAAAAH9P+Tk=")</f>
        <v>#REF!</v>
      </c>
      <c r="BG13" t="e">
        <f>AND(Data!#REF!,"AAAAAH9P+To=")</f>
        <v>#REF!</v>
      </c>
      <c r="BH13" t="e">
        <f>AND(Data!#REF!,"AAAAAH9P+Ts=")</f>
        <v>#REF!</v>
      </c>
      <c r="BI13" t="e">
        <f>AND(Data!#REF!,"AAAAAH9P+Tw=")</f>
        <v>#REF!</v>
      </c>
      <c r="BJ13" t="e">
        <f>AND(Data!#REF!,"AAAAAH9P+T0=")</f>
        <v>#REF!</v>
      </c>
      <c r="BK13" t="e">
        <f>AND(Data!#REF!,"AAAAAH9P+T4=")</f>
        <v>#REF!</v>
      </c>
      <c r="BL13" t="e">
        <f>AND(Data!#REF!,"AAAAAH9P+T8=")</f>
        <v>#REF!</v>
      </c>
      <c r="BM13">
        <f>IF(Data!88:88,"AAAAAH9P+UA=",0)</f>
        <v>0</v>
      </c>
      <c r="BN13" t="e">
        <f>AND(Data!A88,"AAAAAH9P+UE=")</f>
        <v>#VALUE!</v>
      </c>
      <c r="BO13" t="e">
        <f>AND(Data!B88,"AAAAAH9P+UI=")</f>
        <v>#VALUE!</v>
      </c>
      <c r="BP13" t="e">
        <f>AND(Data!C88,"AAAAAH9P+UM=")</f>
        <v>#VALUE!</v>
      </c>
      <c r="BQ13" t="e">
        <f>AND(Data!D88,"AAAAAH9P+UQ=")</f>
        <v>#VALUE!</v>
      </c>
      <c r="BR13" t="e">
        <f>AND(Data!E88,"AAAAAH9P+UU=")</f>
        <v>#VALUE!</v>
      </c>
      <c r="BS13" t="e">
        <f>AND(Data!F88,"AAAAAH9P+UY=")</f>
        <v>#VALUE!</v>
      </c>
      <c r="BT13" t="e">
        <f>AND(Data!G88,"AAAAAH9P+Uc=")</f>
        <v>#VALUE!</v>
      </c>
      <c r="BU13" t="e">
        <f>AND(Data!H88,"AAAAAH9P+Ug=")</f>
        <v>#VALUE!</v>
      </c>
      <c r="BV13" t="e">
        <f>AND(Data!I88,"AAAAAH9P+Uk=")</f>
        <v>#VALUE!</v>
      </c>
      <c r="BW13" t="e">
        <f>AND(Data!J88,"AAAAAH9P+Uo=")</f>
        <v>#VALUE!</v>
      </c>
      <c r="BX13" t="e">
        <f>AND(Data!K88,"AAAAAH9P+Us=")</f>
        <v>#VALUE!</v>
      </c>
      <c r="BY13" t="e">
        <f>AND(Data!L88,"AAAAAH9P+Uw=")</f>
        <v>#VALUE!</v>
      </c>
      <c r="BZ13" t="e">
        <f>AND(Data!M88,"AAAAAH9P+U0=")</f>
        <v>#VALUE!</v>
      </c>
      <c r="CA13" t="e">
        <f>AND(Data!N88,"AAAAAH9P+U4=")</f>
        <v>#VALUE!</v>
      </c>
      <c r="CB13" t="e">
        <f>AND(Data!O88,"AAAAAH9P+U8=")</f>
        <v>#VALUE!</v>
      </c>
      <c r="CC13" t="e">
        <f>AND(Data!P88,"AAAAAH9P+VA=")</f>
        <v>#VALUE!</v>
      </c>
      <c r="CD13" t="e">
        <f>AND(Data!Q88,"AAAAAH9P+VE=")</f>
        <v>#VALUE!</v>
      </c>
      <c r="CE13" t="e">
        <f>AND(Data!#REF!,"AAAAAH9P+VI=")</f>
        <v>#REF!</v>
      </c>
      <c r="CF13" t="e">
        <f>AND(Data!#REF!,"AAAAAH9P+VM=")</f>
        <v>#REF!</v>
      </c>
      <c r="CG13" t="e">
        <f>AND(Data!#REF!,"AAAAAH9P+VQ=")</f>
        <v>#REF!</v>
      </c>
      <c r="CH13" t="e">
        <f>AND(Data!#REF!,"AAAAAH9P+VU=")</f>
        <v>#REF!</v>
      </c>
      <c r="CI13" t="e">
        <f>AND(Data!#REF!,"AAAAAH9P+VY=")</f>
        <v>#REF!</v>
      </c>
      <c r="CJ13" t="e">
        <f>AND(Data!#REF!,"AAAAAH9P+Vc=")</f>
        <v>#REF!</v>
      </c>
      <c r="CK13" t="e">
        <f>AND(Data!#REF!,"AAAAAH9P+Vg=")</f>
        <v>#REF!</v>
      </c>
      <c r="CL13" t="e">
        <f>AND(Data!#REF!,"AAAAAH9P+Vk=")</f>
        <v>#REF!</v>
      </c>
      <c r="CM13" t="e">
        <f>AND(Data!#REF!,"AAAAAH9P+Vo=")</f>
        <v>#REF!</v>
      </c>
      <c r="CN13" t="e">
        <f>AND(Data!#REF!,"AAAAAH9P+Vs=")</f>
        <v>#REF!</v>
      </c>
      <c r="CO13">
        <f>IF(Data!89:89,"AAAAAH9P+Vw=",0)</f>
        <v>0</v>
      </c>
      <c r="CP13" t="e">
        <f>AND(Data!A89,"AAAAAH9P+V0=")</f>
        <v>#VALUE!</v>
      </c>
      <c r="CQ13" t="e">
        <f>AND(Data!B89,"AAAAAH9P+V4=")</f>
        <v>#VALUE!</v>
      </c>
      <c r="CR13" t="e">
        <f>AND(Data!C89,"AAAAAH9P+V8=")</f>
        <v>#VALUE!</v>
      </c>
      <c r="CS13" t="e">
        <f>AND(Data!D89,"AAAAAH9P+WA=")</f>
        <v>#VALUE!</v>
      </c>
      <c r="CT13" t="e">
        <f>AND(Data!E89,"AAAAAH9P+WE=")</f>
        <v>#VALUE!</v>
      </c>
      <c r="CU13" t="e">
        <f>AND(Data!F89,"AAAAAH9P+WI=")</f>
        <v>#VALUE!</v>
      </c>
      <c r="CV13" t="e">
        <f>AND(Data!G89,"AAAAAH9P+WM=")</f>
        <v>#VALUE!</v>
      </c>
      <c r="CW13" t="e">
        <f>AND(Data!H89,"AAAAAH9P+WQ=")</f>
        <v>#VALUE!</v>
      </c>
      <c r="CX13" t="e">
        <f>AND(Data!I89,"AAAAAH9P+WU=")</f>
        <v>#VALUE!</v>
      </c>
      <c r="CY13" t="e">
        <f>AND(Data!J89,"AAAAAH9P+WY=")</f>
        <v>#VALUE!</v>
      </c>
      <c r="CZ13" t="e">
        <f>AND(Data!K89,"AAAAAH9P+Wc=")</f>
        <v>#VALUE!</v>
      </c>
      <c r="DA13" t="e">
        <f>AND(Data!L89,"AAAAAH9P+Wg=")</f>
        <v>#VALUE!</v>
      </c>
      <c r="DB13" t="e">
        <f>AND(Data!M89,"AAAAAH9P+Wk=")</f>
        <v>#VALUE!</v>
      </c>
      <c r="DC13" t="e">
        <f>AND(Data!N89,"AAAAAH9P+Wo=")</f>
        <v>#VALUE!</v>
      </c>
      <c r="DD13" t="e">
        <f>AND(Data!O89,"AAAAAH9P+Ws=")</f>
        <v>#VALUE!</v>
      </c>
      <c r="DE13" t="e">
        <f>AND(Data!P89,"AAAAAH9P+Ww=")</f>
        <v>#VALUE!</v>
      </c>
      <c r="DF13" t="e">
        <f>AND(Data!Q89,"AAAAAH9P+W0=")</f>
        <v>#VALUE!</v>
      </c>
      <c r="DG13" t="e">
        <f>AND(Data!#REF!,"AAAAAH9P+W4=")</f>
        <v>#REF!</v>
      </c>
      <c r="DH13" t="e">
        <f>AND(Data!#REF!,"AAAAAH9P+W8=")</f>
        <v>#REF!</v>
      </c>
      <c r="DI13" t="e">
        <f>AND(Data!#REF!,"AAAAAH9P+XA=")</f>
        <v>#REF!</v>
      </c>
      <c r="DJ13" t="e">
        <f>AND(Data!#REF!,"AAAAAH9P+XE=")</f>
        <v>#REF!</v>
      </c>
      <c r="DK13" t="e">
        <f>AND(Data!#REF!,"AAAAAH9P+XI=")</f>
        <v>#REF!</v>
      </c>
      <c r="DL13" t="e">
        <f>AND(Data!#REF!,"AAAAAH9P+XM=")</f>
        <v>#REF!</v>
      </c>
      <c r="DM13" t="e">
        <f>AND(Data!#REF!,"AAAAAH9P+XQ=")</f>
        <v>#REF!</v>
      </c>
      <c r="DN13" t="e">
        <f>AND(Data!#REF!,"AAAAAH9P+XU=")</f>
        <v>#REF!</v>
      </c>
      <c r="DO13" t="e">
        <f>AND(Data!#REF!,"AAAAAH9P+XY=")</f>
        <v>#REF!</v>
      </c>
      <c r="DP13" t="e">
        <f>AND(Data!#REF!,"AAAAAH9P+Xc=")</f>
        <v>#REF!</v>
      </c>
      <c r="DQ13">
        <f>IF(Data!90:90,"AAAAAH9P+Xg=",0)</f>
        <v>0</v>
      </c>
      <c r="DR13" t="e">
        <f>AND(Data!A90,"AAAAAH9P+Xk=")</f>
        <v>#VALUE!</v>
      </c>
      <c r="DS13" t="e">
        <f>AND(Data!B90,"AAAAAH9P+Xo=")</f>
        <v>#VALUE!</v>
      </c>
      <c r="DT13" t="e">
        <f>AND(Data!C90,"AAAAAH9P+Xs=")</f>
        <v>#VALUE!</v>
      </c>
      <c r="DU13" t="e">
        <f>AND(Data!D90,"AAAAAH9P+Xw=")</f>
        <v>#VALUE!</v>
      </c>
      <c r="DV13" t="e">
        <f>AND(Data!E90,"AAAAAH9P+X0=")</f>
        <v>#VALUE!</v>
      </c>
      <c r="DW13" t="e">
        <f>AND(Data!F90,"AAAAAH9P+X4=")</f>
        <v>#VALUE!</v>
      </c>
      <c r="DX13" t="e">
        <f>AND(Data!G90,"AAAAAH9P+X8=")</f>
        <v>#VALUE!</v>
      </c>
      <c r="DY13" t="e">
        <f>AND(Data!H90,"AAAAAH9P+YA=")</f>
        <v>#VALUE!</v>
      </c>
      <c r="DZ13" t="e">
        <f>AND(Data!I90,"AAAAAH9P+YE=")</f>
        <v>#VALUE!</v>
      </c>
      <c r="EA13" t="e">
        <f>AND(Data!J90,"AAAAAH9P+YI=")</f>
        <v>#VALUE!</v>
      </c>
      <c r="EB13" t="e">
        <f>AND(Data!K90,"AAAAAH9P+YM=")</f>
        <v>#VALUE!</v>
      </c>
      <c r="EC13" t="e">
        <f>AND(Data!L90,"AAAAAH9P+YQ=")</f>
        <v>#VALUE!</v>
      </c>
      <c r="ED13" t="e">
        <f>AND(Data!M90,"AAAAAH9P+YU=")</f>
        <v>#VALUE!</v>
      </c>
      <c r="EE13" t="e">
        <f>AND(Data!N90,"AAAAAH9P+YY=")</f>
        <v>#VALUE!</v>
      </c>
      <c r="EF13" t="e">
        <f>AND(Data!O90,"AAAAAH9P+Yc=")</f>
        <v>#VALUE!</v>
      </c>
      <c r="EG13" t="e">
        <f>AND(Data!P90,"AAAAAH9P+Yg=")</f>
        <v>#VALUE!</v>
      </c>
      <c r="EH13" t="e">
        <f>AND(Data!Q90,"AAAAAH9P+Yk=")</f>
        <v>#VALUE!</v>
      </c>
      <c r="EI13" t="e">
        <f>AND(Data!#REF!,"AAAAAH9P+Yo=")</f>
        <v>#REF!</v>
      </c>
      <c r="EJ13" t="e">
        <f>AND(Data!#REF!,"AAAAAH9P+Ys=")</f>
        <v>#REF!</v>
      </c>
      <c r="EK13" t="e">
        <f>AND(Data!#REF!,"AAAAAH9P+Yw=")</f>
        <v>#REF!</v>
      </c>
      <c r="EL13" t="e">
        <f>AND(Data!#REF!,"AAAAAH9P+Y0=")</f>
        <v>#REF!</v>
      </c>
      <c r="EM13" t="e">
        <f>AND(Data!#REF!,"AAAAAH9P+Y4=")</f>
        <v>#REF!</v>
      </c>
      <c r="EN13" t="e">
        <f>AND(Data!#REF!,"AAAAAH9P+Y8=")</f>
        <v>#REF!</v>
      </c>
      <c r="EO13" t="e">
        <f>AND(Data!#REF!,"AAAAAH9P+ZA=")</f>
        <v>#REF!</v>
      </c>
      <c r="EP13" t="e">
        <f>AND(Data!#REF!,"AAAAAH9P+ZE=")</f>
        <v>#REF!</v>
      </c>
      <c r="EQ13" t="e">
        <f>AND(Data!#REF!,"AAAAAH9P+ZI=")</f>
        <v>#REF!</v>
      </c>
      <c r="ER13" t="e">
        <f>AND(Data!#REF!,"AAAAAH9P+ZM=")</f>
        <v>#REF!</v>
      </c>
      <c r="ES13">
        <f>IF(Data!91:91,"AAAAAH9P+ZQ=",0)</f>
        <v>0</v>
      </c>
      <c r="ET13" t="e">
        <f>AND(Data!A91,"AAAAAH9P+ZU=")</f>
        <v>#VALUE!</v>
      </c>
      <c r="EU13" t="e">
        <f>AND(Data!B91,"AAAAAH9P+ZY=")</f>
        <v>#VALUE!</v>
      </c>
      <c r="EV13" t="e">
        <f>AND(Data!C91,"AAAAAH9P+Zc=")</f>
        <v>#VALUE!</v>
      </c>
      <c r="EW13" t="e">
        <f>AND(Data!D91,"AAAAAH9P+Zg=")</f>
        <v>#VALUE!</v>
      </c>
      <c r="EX13" t="e">
        <f>AND(Data!E91,"AAAAAH9P+Zk=")</f>
        <v>#VALUE!</v>
      </c>
      <c r="EY13" t="e">
        <f>AND(Data!F91,"AAAAAH9P+Zo=")</f>
        <v>#VALUE!</v>
      </c>
      <c r="EZ13" t="e">
        <f>AND(Data!G91,"AAAAAH9P+Zs=")</f>
        <v>#VALUE!</v>
      </c>
      <c r="FA13" t="e">
        <f>AND(Data!H91,"AAAAAH9P+Zw=")</f>
        <v>#VALUE!</v>
      </c>
      <c r="FB13" t="e">
        <f>AND(Data!I91,"AAAAAH9P+Z0=")</f>
        <v>#VALUE!</v>
      </c>
      <c r="FC13" t="e">
        <f>AND(Data!J91,"AAAAAH9P+Z4=")</f>
        <v>#VALUE!</v>
      </c>
      <c r="FD13" t="e">
        <f>AND(Data!K91,"AAAAAH9P+Z8=")</f>
        <v>#VALUE!</v>
      </c>
      <c r="FE13" t="e">
        <f>AND(Data!L91,"AAAAAH9P+aA=")</f>
        <v>#VALUE!</v>
      </c>
      <c r="FF13" t="e">
        <f>AND(Data!M91,"AAAAAH9P+aE=")</f>
        <v>#VALUE!</v>
      </c>
      <c r="FG13" t="e">
        <f>AND(Data!N91,"AAAAAH9P+aI=")</f>
        <v>#VALUE!</v>
      </c>
      <c r="FH13" t="e">
        <f>AND(Data!O91,"AAAAAH9P+aM=")</f>
        <v>#VALUE!</v>
      </c>
      <c r="FI13" t="e">
        <f>AND(Data!P91,"AAAAAH9P+aQ=")</f>
        <v>#VALUE!</v>
      </c>
      <c r="FJ13" t="e">
        <f>AND(Data!Q91,"AAAAAH9P+aU=")</f>
        <v>#VALUE!</v>
      </c>
      <c r="FK13" t="e">
        <f>AND(Data!#REF!,"AAAAAH9P+aY=")</f>
        <v>#REF!</v>
      </c>
      <c r="FL13" t="e">
        <f>AND(Data!#REF!,"AAAAAH9P+ac=")</f>
        <v>#REF!</v>
      </c>
      <c r="FM13" t="e">
        <f>AND(Data!#REF!,"AAAAAH9P+ag=")</f>
        <v>#REF!</v>
      </c>
      <c r="FN13" t="e">
        <f>AND(Data!#REF!,"AAAAAH9P+ak=")</f>
        <v>#REF!</v>
      </c>
      <c r="FO13" t="e">
        <f>AND(Data!#REF!,"AAAAAH9P+ao=")</f>
        <v>#REF!</v>
      </c>
      <c r="FP13" t="e">
        <f>AND(Data!#REF!,"AAAAAH9P+as=")</f>
        <v>#REF!</v>
      </c>
      <c r="FQ13" t="e">
        <f>AND(Data!#REF!,"AAAAAH9P+aw=")</f>
        <v>#REF!</v>
      </c>
      <c r="FR13" t="e">
        <f>AND(Data!#REF!,"AAAAAH9P+a0=")</f>
        <v>#REF!</v>
      </c>
      <c r="FS13" t="e">
        <f>AND(Data!#REF!,"AAAAAH9P+a4=")</f>
        <v>#REF!</v>
      </c>
      <c r="FT13" t="e">
        <f>AND(Data!#REF!,"AAAAAH9P+a8=")</f>
        <v>#REF!</v>
      </c>
      <c r="FU13">
        <f>IF(Data!92:92,"AAAAAH9P+bA=",0)</f>
        <v>0</v>
      </c>
      <c r="FV13" t="e">
        <f>AND(Data!A92,"AAAAAH9P+bE=")</f>
        <v>#VALUE!</v>
      </c>
      <c r="FW13" t="e">
        <f>AND(Data!B92,"AAAAAH9P+bI=")</f>
        <v>#VALUE!</v>
      </c>
      <c r="FX13" t="e">
        <f>AND(Data!C92,"AAAAAH9P+bM=")</f>
        <v>#VALUE!</v>
      </c>
      <c r="FY13" t="e">
        <f>AND(Data!D92,"AAAAAH9P+bQ=")</f>
        <v>#VALUE!</v>
      </c>
      <c r="FZ13" t="e">
        <f>AND(Data!E92,"AAAAAH9P+bU=")</f>
        <v>#VALUE!</v>
      </c>
      <c r="GA13" t="e">
        <f>AND(Data!F92,"AAAAAH9P+bY=")</f>
        <v>#VALUE!</v>
      </c>
      <c r="GB13" t="e">
        <f>AND(Data!G92,"AAAAAH9P+bc=")</f>
        <v>#VALUE!</v>
      </c>
      <c r="GC13" t="e">
        <f>AND(Data!H92,"AAAAAH9P+bg=")</f>
        <v>#VALUE!</v>
      </c>
      <c r="GD13" t="e">
        <f>AND(Data!I92,"AAAAAH9P+bk=")</f>
        <v>#VALUE!</v>
      </c>
      <c r="GE13" t="e">
        <f>AND(Data!J92,"AAAAAH9P+bo=")</f>
        <v>#VALUE!</v>
      </c>
      <c r="GF13" t="e">
        <f>AND(Data!K92,"AAAAAH9P+bs=")</f>
        <v>#VALUE!</v>
      </c>
      <c r="GG13" t="e">
        <f>AND(Data!L92,"AAAAAH9P+bw=")</f>
        <v>#VALUE!</v>
      </c>
      <c r="GH13" t="e">
        <f>AND(Data!M92,"AAAAAH9P+b0=")</f>
        <v>#VALUE!</v>
      </c>
      <c r="GI13" t="e">
        <f>AND(Data!N92,"AAAAAH9P+b4=")</f>
        <v>#VALUE!</v>
      </c>
      <c r="GJ13" t="e">
        <f>AND(Data!O92,"AAAAAH9P+b8=")</f>
        <v>#VALUE!</v>
      </c>
      <c r="GK13" t="e">
        <f>AND(Data!P92,"AAAAAH9P+cA=")</f>
        <v>#VALUE!</v>
      </c>
      <c r="GL13" t="e">
        <f>AND(Data!Q92,"AAAAAH9P+cE=")</f>
        <v>#VALUE!</v>
      </c>
      <c r="GM13" t="e">
        <f>AND(Data!#REF!,"AAAAAH9P+cI=")</f>
        <v>#REF!</v>
      </c>
      <c r="GN13" t="e">
        <f>AND(Data!#REF!,"AAAAAH9P+cM=")</f>
        <v>#REF!</v>
      </c>
      <c r="GO13" t="e">
        <f>AND(Data!#REF!,"AAAAAH9P+cQ=")</f>
        <v>#REF!</v>
      </c>
      <c r="GP13" t="e">
        <f>AND(Data!#REF!,"AAAAAH9P+cU=")</f>
        <v>#REF!</v>
      </c>
      <c r="GQ13" t="e">
        <f>AND(Data!#REF!,"AAAAAH9P+cY=")</f>
        <v>#REF!</v>
      </c>
      <c r="GR13" t="e">
        <f>AND(Data!#REF!,"AAAAAH9P+cc=")</f>
        <v>#REF!</v>
      </c>
      <c r="GS13" t="e">
        <f>AND(Data!#REF!,"AAAAAH9P+cg=")</f>
        <v>#REF!</v>
      </c>
      <c r="GT13" t="e">
        <f>AND(Data!#REF!,"AAAAAH9P+ck=")</f>
        <v>#REF!</v>
      </c>
      <c r="GU13" t="e">
        <f>AND(Data!#REF!,"AAAAAH9P+co=")</f>
        <v>#REF!</v>
      </c>
      <c r="GV13" t="e">
        <f>AND(Data!#REF!,"AAAAAH9P+cs=")</f>
        <v>#REF!</v>
      </c>
      <c r="GW13">
        <f>IF(Data!93:93,"AAAAAH9P+cw=",0)</f>
        <v>0</v>
      </c>
      <c r="GX13" t="e">
        <f>AND(Data!A93,"AAAAAH9P+c0=")</f>
        <v>#VALUE!</v>
      </c>
      <c r="GY13" t="e">
        <f>AND(Data!B93,"AAAAAH9P+c4=")</f>
        <v>#VALUE!</v>
      </c>
      <c r="GZ13" t="e">
        <f>AND(Data!C93,"AAAAAH9P+c8=")</f>
        <v>#VALUE!</v>
      </c>
      <c r="HA13" t="e">
        <f>AND(Data!D93,"AAAAAH9P+dA=")</f>
        <v>#VALUE!</v>
      </c>
      <c r="HB13" t="e">
        <f>AND(Data!E93,"AAAAAH9P+dE=")</f>
        <v>#VALUE!</v>
      </c>
      <c r="HC13" t="e">
        <f>AND(Data!F93,"AAAAAH9P+dI=")</f>
        <v>#VALUE!</v>
      </c>
      <c r="HD13" t="e">
        <f>AND(Data!G93,"AAAAAH9P+dM=")</f>
        <v>#VALUE!</v>
      </c>
      <c r="HE13" t="e">
        <f>AND(Data!H93,"AAAAAH9P+dQ=")</f>
        <v>#VALUE!</v>
      </c>
      <c r="HF13" t="e">
        <f>AND(Data!I93,"AAAAAH9P+dU=")</f>
        <v>#VALUE!</v>
      </c>
      <c r="HG13" t="e">
        <f>AND(Data!J93,"AAAAAH9P+dY=")</f>
        <v>#VALUE!</v>
      </c>
      <c r="HH13" t="e">
        <f>AND(Data!K93,"AAAAAH9P+dc=")</f>
        <v>#VALUE!</v>
      </c>
      <c r="HI13" t="e">
        <f>AND(Data!L93,"AAAAAH9P+dg=")</f>
        <v>#VALUE!</v>
      </c>
      <c r="HJ13" t="e">
        <f>AND(Data!M93,"AAAAAH9P+dk=")</f>
        <v>#VALUE!</v>
      </c>
      <c r="HK13" t="e">
        <f>AND(Data!N93,"AAAAAH9P+do=")</f>
        <v>#VALUE!</v>
      </c>
      <c r="HL13" t="e">
        <f>AND(Data!O93,"AAAAAH9P+ds=")</f>
        <v>#VALUE!</v>
      </c>
      <c r="HM13" t="e">
        <f>AND(Data!P93,"AAAAAH9P+dw=")</f>
        <v>#VALUE!</v>
      </c>
      <c r="HN13" t="e">
        <f>AND(Data!Q93,"AAAAAH9P+d0=")</f>
        <v>#VALUE!</v>
      </c>
      <c r="HO13" t="e">
        <f>AND(Data!#REF!,"AAAAAH9P+d4=")</f>
        <v>#REF!</v>
      </c>
      <c r="HP13" t="e">
        <f>AND(Data!#REF!,"AAAAAH9P+d8=")</f>
        <v>#REF!</v>
      </c>
      <c r="HQ13" t="e">
        <f>AND(Data!#REF!,"AAAAAH9P+eA=")</f>
        <v>#REF!</v>
      </c>
      <c r="HR13" t="e">
        <f>AND(Data!#REF!,"AAAAAH9P+eE=")</f>
        <v>#REF!</v>
      </c>
      <c r="HS13" t="e">
        <f>AND(Data!#REF!,"AAAAAH9P+eI=")</f>
        <v>#REF!</v>
      </c>
      <c r="HT13" t="e">
        <f>AND(Data!#REF!,"AAAAAH9P+eM=")</f>
        <v>#REF!</v>
      </c>
      <c r="HU13" t="e">
        <f>AND(Data!#REF!,"AAAAAH9P+eQ=")</f>
        <v>#REF!</v>
      </c>
      <c r="HV13" t="e">
        <f>AND(Data!#REF!,"AAAAAH9P+eU=")</f>
        <v>#REF!</v>
      </c>
      <c r="HW13" t="e">
        <f>AND(Data!#REF!,"AAAAAH9P+eY=")</f>
        <v>#REF!</v>
      </c>
      <c r="HX13" t="e">
        <f>AND(Data!#REF!,"AAAAAH9P+ec=")</f>
        <v>#REF!</v>
      </c>
      <c r="HY13">
        <f>IF(Data!94:94,"AAAAAH9P+eg=",0)</f>
        <v>0</v>
      </c>
      <c r="HZ13" t="e">
        <f>AND(Data!A94,"AAAAAH9P+ek=")</f>
        <v>#VALUE!</v>
      </c>
      <c r="IA13" t="e">
        <f>AND(Data!B94,"AAAAAH9P+eo=")</f>
        <v>#VALUE!</v>
      </c>
      <c r="IB13" t="e">
        <f>AND(Data!C94,"AAAAAH9P+es=")</f>
        <v>#VALUE!</v>
      </c>
      <c r="IC13" t="e">
        <f>AND(Data!D94,"AAAAAH9P+ew=")</f>
        <v>#VALUE!</v>
      </c>
      <c r="ID13" t="e">
        <f>AND(Data!E94,"AAAAAH9P+e0=")</f>
        <v>#VALUE!</v>
      </c>
      <c r="IE13" t="e">
        <f>AND(Data!F94,"AAAAAH9P+e4=")</f>
        <v>#VALUE!</v>
      </c>
      <c r="IF13" t="e">
        <f>AND(Data!G94,"AAAAAH9P+e8=")</f>
        <v>#VALUE!</v>
      </c>
      <c r="IG13" t="e">
        <f>AND(Data!H94,"AAAAAH9P+fA=")</f>
        <v>#VALUE!</v>
      </c>
      <c r="IH13" t="e">
        <f>AND(Data!I94,"AAAAAH9P+fE=")</f>
        <v>#VALUE!</v>
      </c>
      <c r="II13" t="e">
        <f>AND(Data!J94,"AAAAAH9P+fI=")</f>
        <v>#VALUE!</v>
      </c>
      <c r="IJ13" t="e">
        <f>AND(Data!K94,"AAAAAH9P+fM=")</f>
        <v>#VALUE!</v>
      </c>
      <c r="IK13" t="e">
        <f>AND(Data!L94,"AAAAAH9P+fQ=")</f>
        <v>#VALUE!</v>
      </c>
      <c r="IL13" t="e">
        <f>AND(Data!M94,"AAAAAH9P+fU=")</f>
        <v>#VALUE!</v>
      </c>
      <c r="IM13" t="e">
        <f>AND(Data!N94,"AAAAAH9P+fY=")</f>
        <v>#VALUE!</v>
      </c>
      <c r="IN13" t="e">
        <f>AND(Data!O94,"AAAAAH9P+fc=")</f>
        <v>#VALUE!</v>
      </c>
      <c r="IO13" t="e">
        <f>AND(Data!P94,"AAAAAH9P+fg=")</f>
        <v>#VALUE!</v>
      </c>
      <c r="IP13" t="e">
        <f>AND(Data!Q94,"AAAAAH9P+fk=")</f>
        <v>#VALUE!</v>
      </c>
      <c r="IQ13" t="e">
        <f>AND(Data!#REF!,"AAAAAH9P+fo=")</f>
        <v>#REF!</v>
      </c>
      <c r="IR13" t="e">
        <f>AND(Data!#REF!,"AAAAAH9P+fs=")</f>
        <v>#REF!</v>
      </c>
      <c r="IS13" t="e">
        <f>AND(Data!#REF!,"AAAAAH9P+fw=")</f>
        <v>#REF!</v>
      </c>
      <c r="IT13" t="e">
        <f>AND(Data!#REF!,"AAAAAH9P+f0=")</f>
        <v>#REF!</v>
      </c>
      <c r="IU13" t="e">
        <f>AND(Data!#REF!,"AAAAAH9P+f4=")</f>
        <v>#REF!</v>
      </c>
      <c r="IV13" t="e">
        <f>AND(Data!#REF!,"AAAAAH9P+f8=")</f>
        <v>#REF!</v>
      </c>
    </row>
    <row r="14" spans="1:256">
      <c r="A14" t="e">
        <f>AND(Data!#REF!,"AAAAAF3RbgA=")</f>
        <v>#REF!</v>
      </c>
      <c r="B14" t="e">
        <f>AND(Data!#REF!,"AAAAAF3RbgE=")</f>
        <v>#REF!</v>
      </c>
      <c r="C14" t="e">
        <f>AND(Data!#REF!,"AAAAAF3RbgI=")</f>
        <v>#REF!</v>
      </c>
      <c r="D14" t="e">
        <f>AND(Data!#REF!,"AAAAAF3RbgM=")</f>
        <v>#REF!</v>
      </c>
      <c r="E14">
        <f>IF(Data!95:95,"AAAAAF3RbgQ=",0)</f>
        <v>0</v>
      </c>
      <c r="F14" t="e">
        <f>AND(Data!A95,"AAAAAF3RbgU=")</f>
        <v>#VALUE!</v>
      </c>
      <c r="G14" t="e">
        <f>AND(Data!B95,"AAAAAF3RbgY=")</f>
        <v>#VALUE!</v>
      </c>
      <c r="H14" t="e">
        <f>AND(Data!C95,"AAAAAF3Rbgc=")</f>
        <v>#VALUE!</v>
      </c>
      <c r="I14" t="e">
        <f>AND(Data!D95,"AAAAAF3Rbgg=")</f>
        <v>#VALUE!</v>
      </c>
      <c r="J14" t="e">
        <f>AND(Data!E95,"AAAAAF3Rbgk=")</f>
        <v>#VALUE!</v>
      </c>
      <c r="K14" t="e">
        <f>AND(Data!F95,"AAAAAF3Rbgo=")</f>
        <v>#VALUE!</v>
      </c>
      <c r="L14" t="e">
        <f>AND(Data!G95,"AAAAAF3Rbgs=")</f>
        <v>#VALUE!</v>
      </c>
      <c r="M14" t="e">
        <f>AND(Data!H95,"AAAAAF3Rbgw=")</f>
        <v>#VALUE!</v>
      </c>
      <c r="N14" t="e">
        <f>AND(Data!I95,"AAAAAF3Rbg0=")</f>
        <v>#VALUE!</v>
      </c>
      <c r="O14" t="e">
        <f>AND(Data!J95,"AAAAAF3Rbg4=")</f>
        <v>#VALUE!</v>
      </c>
      <c r="P14" t="e">
        <f>AND(Data!K95,"AAAAAF3Rbg8=")</f>
        <v>#VALUE!</v>
      </c>
      <c r="Q14" t="e">
        <f>AND(Data!L95,"AAAAAF3RbhA=")</f>
        <v>#VALUE!</v>
      </c>
      <c r="R14" t="e">
        <f>AND(Data!M95,"AAAAAF3RbhE=")</f>
        <v>#VALUE!</v>
      </c>
      <c r="S14" t="e">
        <f>AND(Data!N95,"AAAAAF3RbhI=")</f>
        <v>#VALUE!</v>
      </c>
      <c r="T14" t="e">
        <f>AND(Data!O95,"AAAAAF3RbhM=")</f>
        <v>#VALUE!</v>
      </c>
      <c r="U14" t="e">
        <f>AND(Data!P95,"AAAAAF3RbhQ=")</f>
        <v>#VALUE!</v>
      </c>
      <c r="V14" t="e">
        <f>AND(Data!Q95,"AAAAAF3RbhU=")</f>
        <v>#VALUE!</v>
      </c>
      <c r="W14" t="e">
        <f>AND(Data!#REF!,"AAAAAF3RbhY=")</f>
        <v>#REF!</v>
      </c>
      <c r="X14" t="e">
        <f>AND(Data!#REF!,"AAAAAF3Rbhc=")</f>
        <v>#REF!</v>
      </c>
      <c r="Y14" t="e">
        <f>AND(Data!#REF!,"AAAAAF3Rbhg=")</f>
        <v>#REF!</v>
      </c>
      <c r="Z14" t="e">
        <f>AND(Data!#REF!,"AAAAAF3Rbhk=")</f>
        <v>#REF!</v>
      </c>
      <c r="AA14" t="e">
        <f>AND(Data!#REF!,"AAAAAF3Rbho=")</f>
        <v>#REF!</v>
      </c>
      <c r="AB14" t="e">
        <f>AND(Data!#REF!,"AAAAAF3Rbhs=")</f>
        <v>#REF!</v>
      </c>
      <c r="AC14" t="e">
        <f>AND(Data!#REF!,"AAAAAF3Rbhw=")</f>
        <v>#REF!</v>
      </c>
      <c r="AD14" t="e">
        <f>AND(Data!#REF!,"AAAAAF3Rbh0=")</f>
        <v>#REF!</v>
      </c>
      <c r="AE14" t="e">
        <f>AND(Data!#REF!,"AAAAAF3Rbh4=")</f>
        <v>#REF!</v>
      </c>
      <c r="AF14" t="e">
        <f>AND(Data!#REF!,"AAAAAF3Rbh8=")</f>
        <v>#REF!</v>
      </c>
      <c r="AG14">
        <f>IF(Data!96:96,"AAAAAF3RbiA=",0)</f>
        <v>0</v>
      </c>
      <c r="AH14" t="e">
        <f>AND(Data!A96,"AAAAAF3RbiE=")</f>
        <v>#VALUE!</v>
      </c>
      <c r="AI14" t="e">
        <f>AND(Data!B96,"AAAAAF3RbiI=")</f>
        <v>#VALUE!</v>
      </c>
      <c r="AJ14" t="e">
        <f>AND(Data!C96,"AAAAAF3RbiM=")</f>
        <v>#VALUE!</v>
      </c>
      <c r="AK14" t="e">
        <f>AND(Data!D96,"AAAAAF3RbiQ=")</f>
        <v>#VALUE!</v>
      </c>
      <c r="AL14" t="e">
        <f>AND(Data!E96,"AAAAAF3RbiU=")</f>
        <v>#VALUE!</v>
      </c>
      <c r="AM14" t="e">
        <f>AND(Data!F96,"AAAAAF3RbiY=")</f>
        <v>#VALUE!</v>
      </c>
      <c r="AN14" t="e">
        <f>AND(Data!G96,"AAAAAF3Rbic=")</f>
        <v>#VALUE!</v>
      </c>
      <c r="AO14" t="e">
        <f>AND(Data!H96,"AAAAAF3Rbig=")</f>
        <v>#VALUE!</v>
      </c>
      <c r="AP14" t="e">
        <f>AND(Data!I96,"AAAAAF3Rbik=")</f>
        <v>#VALUE!</v>
      </c>
      <c r="AQ14" t="e">
        <f>AND(Data!J96,"AAAAAF3Rbio=")</f>
        <v>#VALUE!</v>
      </c>
      <c r="AR14" t="e">
        <f>AND(Data!K96,"AAAAAF3Rbis=")</f>
        <v>#VALUE!</v>
      </c>
      <c r="AS14" t="e">
        <f>AND(Data!L96,"AAAAAF3Rbiw=")</f>
        <v>#VALUE!</v>
      </c>
      <c r="AT14" t="e">
        <f>AND(Data!M96,"AAAAAF3Rbi0=")</f>
        <v>#VALUE!</v>
      </c>
      <c r="AU14" t="e">
        <f>AND(Data!N96,"AAAAAF3Rbi4=")</f>
        <v>#VALUE!</v>
      </c>
      <c r="AV14" t="e">
        <f>AND(Data!O96,"AAAAAF3Rbi8=")</f>
        <v>#VALUE!</v>
      </c>
      <c r="AW14" t="e">
        <f>AND(Data!P96,"AAAAAF3RbjA=")</f>
        <v>#VALUE!</v>
      </c>
      <c r="AX14" t="e">
        <f>AND(Data!Q96,"AAAAAF3RbjE=")</f>
        <v>#VALUE!</v>
      </c>
      <c r="AY14" t="e">
        <f>AND(Data!#REF!,"AAAAAF3RbjI=")</f>
        <v>#REF!</v>
      </c>
      <c r="AZ14" t="e">
        <f>AND(Data!#REF!,"AAAAAF3RbjM=")</f>
        <v>#REF!</v>
      </c>
      <c r="BA14" t="e">
        <f>AND(Data!#REF!,"AAAAAF3RbjQ=")</f>
        <v>#REF!</v>
      </c>
      <c r="BB14" t="e">
        <f>AND(Data!#REF!,"AAAAAF3RbjU=")</f>
        <v>#REF!</v>
      </c>
      <c r="BC14" t="e">
        <f>AND(Data!#REF!,"AAAAAF3RbjY=")</f>
        <v>#REF!</v>
      </c>
      <c r="BD14" t="e">
        <f>AND(Data!#REF!,"AAAAAF3Rbjc=")</f>
        <v>#REF!</v>
      </c>
      <c r="BE14" t="e">
        <f>AND(Data!#REF!,"AAAAAF3Rbjg=")</f>
        <v>#REF!</v>
      </c>
      <c r="BF14" t="e">
        <f>AND(Data!#REF!,"AAAAAF3Rbjk=")</f>
        <v>#REF!</v>
      </c>
      <c r="BG14" t="e">
        <f>AND(Data!#REF!,"AAAAAF3Rbjo=")</f>
        <v>#REF!</v>
      </c>
      <c r="BH14" t="e">
        <f>AND(Data!#REF!,"AAAAAF3Rbjs=")</f>
        <v>#REF!</v>
      </c>
      <c r="BI14">
        <f>IF(Data!97:97,"AAAAAF3Rbjw=",0)</f>
        <v>0</v>
      </c>
      <c r="BJ14" t="e">
        <f>AND(Data!A97,"AAAAAF3Rbj0=")</f>
        <v>#VALUE!</v>
      </c>
      <c r="BK14" t="e">
        <f>AND(Data!B97,"AAAAAF3Rbj4=")</f>
        <v>#VALUE!</v>
      </c>
      <c r="BL14" t="e">
        <f>AND(Data!C97,"AAAAAF3Rbj8=")</f>
        <v>#VALUE!</v>
      </c>
      <c r="BM14" t="e">
        <f>AND(Data!D97,"AAAAAF3RbkA=")</f>
        <v>#VALUE!</v>
      </c>
      <c r="BN14" t="e">
        <f>AND(Data!E97,"AAAAAF3RbkE=")</f>
        <v>#VALUE!</v>
      </c>
      <c r="BO14" t="e">
        <f>AND(Data!F97,"AAAAAF3RbkI=")</f>
        <v>#VALUE!</v>
      </c>
      <c r="BP14" t="e">
        <f>AND(Data!G97,"AAAAAF3RbkM=")</f>
        <v>#VALUE!</v>
      </c>
      <c r="BQ14" t="e">
        <f>AND(Data!H97,"AAAAAF3RbkQ=")</f>
        <v>#VALUE!</v>
      </c>
      <c r="BR14" t="e">
        <f>AND(Data!I97,"AAAAAF3RbkU=")</f>
        <v>#VALUE!</v>
      </c>
      <c r="BS14" t="e">
        <f>AND(Data!J97,"AAAAAF3RbkY=")</f>
        <v>#VALUE!</v>
      </c>
      <c r="BT14" t="e">
        <f>AND(Data!K97,"AAAAAF3Rbkc=")</f>
        <v>#VALUE!</v>
      </c>
      <c r="BU14" t="e">
        <f>AND(Data!L97,"AAAAAF3Rbkg=")</f>
        <v>#VALUE!</v>
      </c>
      <c r="BV14" t="e">
        <f>AND(Data!M97,"AAAAAF3Rbkk=")</f>
        <v>#VALUE!</v>
      </c>
      <c r="BW14" t="e">
        <f>AND(Data!N97,"AAAAAF3Rbko=")</f>
        <v>#VALUE!</v>
      </c>
      <c r="BX14" t="e">
        <f>AND(Data!O97,"AAAAAF3Rbks=")</f>
        <v>#VALUE!</v>
      </c>
      <c r="BY14" t="e">
        <f>AND(Data!P97,"AAAAAF3Rbkw=")</f>
        <v>#VALUE!</v>
      </c>
      <c r="BZ14" t="e">
        <f>AND(Data!Q97,"AAAAAF3Rbk0=")</f>
        <v>#VALUE!</v>
      </c>
      <c r="CA14" t="e">
        <f>AND(Data!#REF!,"AAAAAF3Rbk4=")</f>
        <v>#REF!</v>
      </c>
      <c r="CB14" t="e">
        <f>AND(Data!#REF!,"AAAAAF3Rbk8=")</f>
        <v>#REF!</v>
      </c>
      <c r="CC14" t="e">
        <f>AND(Data!#REF!,"AAAAAF3RblA=")</f>
        <v>#REF!</v>
      </c>
      <c r="CD14" t="e">
        <f>AND(Data!#REF!,"AAAAAF3RblE=")</f>
        <v>#REF!</v>
      </c>
      <c r="CE14" t="e">
        <f>AND(Data!#REF!,"AAAAAF3RblI=")</f>
        <v>#REF!</v>
      </c>
      <c r="CF14" t="e">
        <f>AND(Data!#REF!,"AAAAAF3RblM=")</f>
        <v>#REF!</v>
      </c>
      <c r="CG14" t="e">
        <f>AND(Data!#REF!,"AAAAAF3RblQ=")</f>
        <v>#REF!</v>
      </c>
      <c r="CH14" t="e">
        <f>AND(Data!#REF!,"AAAAAF3RblU=")</f>
        <v>#REF!</v>
      </c>
      <c r="CI14" t="e">
        <f>AND(Data!#REF!,"AAAAAF3RblY=")</f>
        <v>#REF!</v>
      </c>
      <c r="CJ14" t="e">
        <f>AND(Data!#REF!,"AAAAAF3Rblc=")</f>
        <v>#REF!</v>
      </c>
      <c r="CK14">
        <f>IF(Data!98:98,"AAAAAF3Rblg=",0)</f>
        <v>0</v>
      </c>
      <c r="CL14" t="e">
        <f>AND(Data!A98,"AAAAAF3Rblk=")</f>
        <v>#VALUE!</v>
      </c>
      <c r="CM14" t="e">
        <f>AND(Data!B98,"AAAAAF3Rblo=")</f>
        <v>#VALUE!</v>
      </c>
      <c r="CN14" t="e">
        <f>AND(Data!C98,"AAAAAF3Rbls=")</f>
        <v>#VALUE!</v>
      </c>
      <c r="CO14" t="e">
        <f>AND(Data!D98,"AAAAAF3Rblw=")</f>
        <v>#VALUE!</v>
      </c>
      <c r="CP14" t="e">
        <f>AND(Data!E98,"AAAAAF3Rbl0=")</f>
        <v>#VALUE!</v>
      </c>
      <c r="CQ14" t="e">
        <f>AND(Data!F98,"AAAAAF3Rbl4=")</f>
        <v>#VALUE!</v>
      </c>
      <c r="CR14" t="e">
        <f>AND(Data!G98,"AAAAAF3Rbl8=")</f>
        <v>#VALUE!</v>
      </c>
      <c r="CS14" t="e">
        <f>AND(Data!H98,"AAAAAF3RbmA=")</f>
        <v>#VALUE!</v>
      </c>
      <c r="CT14" t="e">
        <f>AND(Data!I98,"AAAAAF3RbmE=")</f>
        <v>#VALUE!</v>
      </c>
      <c r="CU14" t="e">
        <f>AND(Data!J98,"AAAAAF3RbmI=")</f>
        <v>#VALUE!</v>
      </c>
      <c r="CV14" t="e">
        <f>AND(Data!K98,"AAAAAF3RbmM=")</f>
        <v>#VALUE!</v>
      </c>
      <c r="CW14" t="e">
        <f>AND(Data!L98,"AAAAAF3RbmQ=")</f>
        <v>#VALUE!</v>
      </c>
      <c r="CX14" t="e">
        <f>AND(Data!M98,"AAAAAF3RbmU=")</f>
        <v>#VALUE!</v>
      </c>
      <c r="CY14" t="e">
        <f>AND(Data!N98,"AAAAAF3RbmY=")</f>
        <v>#VALUE!</v>
      </c>
      <c r="CZ14" t="e">
        <f>AND(Data!O98,"AAAAAF3Rbmc=")</f>
        <v>#VALUE!</v>
      </c>
      <c r="DA14" t="e">
        <f>AND(Data!P98,"AAAAAF3Rbmg=")</f>
        <v>#VALUE!</v>
      </c>
      <c r="DB14" t="e">
        <f>AND(Data!Q98,"AAAAAF3Rbmk=")</f>
        <v>#VALUE!</v>
      </c>
      <c r="DC14" t="e">
        <f>AND(Data!#REF!,"AAAAAF3Rbmo=")</f>
        <v>#REF!</v>
      </c>
      <c r="DD14" t="e">
        <f>AND(Data!#REF!,"AAAAAF3Rbms=")</f>
        <v>#REF!</v>
      </c>
      <c r="DE14" t="e">
        <f>AND(Data!#REF!,"AAAAAF3Rbmw=")</f>
        <v>#REF!</v>
      </c>
      <c r="DF14" t="e">
        <f>AND(Data!#REF!,"AAAAAF3Rbm0=")</f>
        <v>#REF!</v>
      </c>
      <c r="DG14" t="e">
        <f>AND(Data!#REF!,"AAAAAF3Rbm4=")</f>
        <v>#REF!</v>
      </c>
      <c r="DH14" t="e">
        <f>AND(Data!#REF!,"AAAAAF3Rbm8=")</f>
        <v>#REF!</v>
      </c>
      <c r="DI14" t="e">
        <f>AND(Data!#REF!,"AAAAAF3RbnA=")</f>
        <v>#REF!</v>
      </c>
      <c r="DJ14" t="e">
        <f>AND(Data!#REF!,"AAAAAF3RbnE=")</f>
        <v>#REF!</v>
      </c>
      <c r="DK14" t="e">
        <f>AND(Data!#REF!,"AAAAAF3RbnI=")</f>
        <v>#REF!</v>
      </c>
      <c r="DL14" t="e">
        <f>AND(Data!#REF!,"AAAAAF3RbnM=")</f>
        <v>#REF!</v>
      </c>
      <c r="DM14">
        <f>IF(Data!99:99,"AAAAAF3RbnQ=",0)</f>
        <v>0</v>
      </c>
      <c r="DN14" t="e">
        <f>AND(Data!A99,"AAAAAF3RbnU=")</f>
        <v>#VALUE!</v>
      </c>
      <c r="DO14" t="e">
        <f>AND(Data!B99,"AAAAAF3RbnY=")</f>
        <v>#VALUE!</v>
      </c>
      <c r="DP14" t="e">
        <f>AND(Data!C99,"AAAAAF3Rbnc=")</f>
        <v>#VALUE!</v>
      </c>
      <c r="DQ14" t="e">
        <f>AND(Data!D99,"AAAAAF3Rbng=")</f>
        <v>#VALUE!</v>
      </c>
      <c r="DR14" t="e">
        <f>AND(Data!E99,"AAAAAF3Rbnk=")</f>
        <v>#VALUE!</v>
      </c>
      <c r="DS14" t="e">
        <f>AND(Data!F99,"AAAAAF3Rbno=")</f>
        <v>#VALUE!</v>
      </c>
      <c r="DT14" t="e">
        <f>AND(Data!G99,"AAAAAF3Rbns=")</f>
        <v>#VALUE!</v>
      </c>
      <c r="DU14" t="e">
        <f>AND(Data!H99,"AAAAAF3Rbnw=")</f>
        <v>#VALUE!</v>
      </c>
      <c r="DV14" t="e">
        <f>AND(Data!I99,"AAAAAF3Rbn0=")</f>
        <v>#VALUE!</v>
      </c>
      <c r="DW14" t="e">
        <f>AND(Data!J99,"AAAAAF3Rbn4=")</f>
        <v>#VALUE!</v>
      </c>
      <c r="DX14" t="e">
        <f>AND(Data!K99,"AAAAAF3Rbn8=")</f>
        <v>#VALUE!</v>
      </c>
      <c r="DY14" t="e">
        <f>AND(Data!L99,"AAAAAF3RboA=")</f>
        <v>#VALUE!</v>
      </c>
      <c r="DZ14" t="e">
        <f>AND(Data!M99,"AAAAAF3RboE=")</f>
        <v>#VALUE!</v>
      </c>
      <c r="EA14" t="e">
        <f>AND(Data!N99,"AAAAAF3RboI=")</f>
        <v>#VALUE!</v>
      </c>
      <c r="EB14" t="e">
        <f>AND(Data!O99,"AAAAAF3RboM=")</f>
        <v>#VALUE!</v>
      </c>
      <c r="EC14" t="e">
        <f>AND(Data!P99,"AAAAAF3RboQ=")</f>
        <v>#VALUE!</v>
      </c>
      <c r="ED14" t="e">
        <f>AND(Data!Q99,"AAAAAF3RboU=")</f>
        <v>#VALUE!</v>
      </c>
      <c r="EE14" t="e">
        <f>AND(Data!#REF!,"AAAAAF3RboY=")</f>
        <v>#REF!</v>
      </c>
      <c r="EF14" t="e">
        <f>AND(Data!#REF!,"AAAAAF3Rboc=")</f>
        <v>#REF!</v>
      </c>
      <c r="EG14" t="e">
        <f>AND(Data!#REF!,"AAAAAF3Rbog=")</f>
        <v>#REF!</v>
      </c>
      <c r="EH14" t="e">
        <f>AND(Data!#REF!,"AAAAAF3Rbok=")</f>
        <v>#REF!</v>
      </c>
      <c r="EI14" t="e">
        <f>AND(Data!#REF!,"AAAAAF3Rboo=")</f>
        <v>#REF!</v>
      </c>
      <c r="EJ14" t="e">
        <f>AND(Data!#REF!,"AAAAAF3Rbos=")</f>
        <v>#REF!</v>
      </c>
      <c r="EK14" t="e">
        <f>AND(Data!#REF!,"AAAAAF3Rbow=")</f>
        <v>#REF!</v>
      </c>
      <c r="EL14" t="e">
        <f>AND(Data!#REF!,"AAAAAF3Rbo0=")</f>
        <v>#REF!</v>
      </c>
      <c r="EM14" t="e">
        <f>AND(Data!#REF!,"AAAAAF3Rbo4=")</f>
        <v>#REF!</v>
      </c>
      <c r="EN14" t="e">
        <f>AND(Data!#REF!,"AAAAAF3Rbo8=")</f>
        <v>#REF!</v>
      </c>
      <c r="EO14">
        <f>IF(Data!100:100,"AAAAAF3RbpA=",0)</f>
        <v>0</v>
      </c>
      <c r="EP14" t="e">
        <f>AND(Data!A100,"AAAAAF3RbpE=")</f>
        <v>#VALUE!</v>
      </c>
      <c r="EQ14" t="e">
        <f>AND(Data!B100,"AAAAAF3RbpI=")</f>
        <v>#VALUE!</v>
      </c>
      <c r="ER14" t="e">
        <f>AND(Data!C100,"AAAAAF3RbpM=")</f>
        <v>#VALUE!</v>
      </c>
      <c r="ES14" t="e">
        <f>AND(Data!D100,"AAAAAF3RbpQ=")</f>
        <v>#VALUE!</v>
      </c>
      <c r="ET14" t="e">
        <f>AND(Data!E100,"AAAAAF3RbpU=")</f>
        <v>#VALUE!</v>
      </c>
      <c r="EU14" t="e">
        <f>AND(Data!F100,"AAAAAF3RbpY=")</f>
        <v>#VALUE!</v>
      </c>
      <c r="EV14" t="e">
        <f>AND(Data!G100,"AAAAAF3Rbpc=")</f>
        <v>#VALUE!</v>
      </c>
      <c r="EW14" t="e">
        <f>AND(Data!H100,"AAAAAF3Rbpg=")</f>
        <v>#VALUE!</v>
      </c>
      <c r="EX14" t="e">
        <f>AND(Data!I100,"AAAAAF3Rbpk=")</f>
        <v>#VALUE!</v>
      </c>
      <c r="EY14" t="e">
        <f>AND(Data!J100,"AAAAAF3Rbpo=")</f>
        <v>#VALUE!</v>
      </c>
      <c r="EZ14" t="e">
        <f>AND(Data!K100,"AAAAAF3Rbps=")</f>
        <v>#VALUE!</v>
      </c>
      <c r="FA14" t="e">
        <f>AND(Data!L100,"AAAAAF3Rbpw=")</f>
        <v>#VALUE!</v>
      </c>
      <c r="FB14" t="e">
        <f>AND(Data!M100,"AAAAAF3Rbp0=")</f>
        <v>#VALUE!</v>
      </c>
      <c r="FC14" t="e">
        <f>AND(Data!N100,"AAAAAF3Rbp4=")</f>
        <v>#VALUE!</v>
      </c>
      <c r="FD14" t="e">
        <f>AND(Data!O100,"AAAAAF3Rbp8=")</f>
        <v>#VALUE!</v>
      </c>
      <c r="FE14" t="e">
        <f>AND(Data!P100,"AAAAAF3RbqA=")</f>
        <v>#VALUE!</v>
      </c>
      <c r="FF14" t="e">
        <f>AND(Data!Q100,"AAAAAF3RbqE=")</f>
        <v>#VALUE!</v>
      </c>
      <c r="FG14" t="e">
        <f>AND(Data!#REF!,"AAAAAF3RbqI=")</f>
        <v>#REF!</v>
      </c>
      <c r="FH14" t="e">
        <f>AND(Data!#REF!,"AAAAAF3RbqM=")</f>
        <v>#REF!</v>
      </c>
      <c r="FI14" t="e">
        <f>AND(Data!#REF!,"AAAAAF3RbqQ=")</f>
        <v>#REF!</v>
      </c>
      <c r="FJ14" t="e">
        <f>AND(Data!#REF!,"AAAAAF3RbqU=")</f>
        <v>#REF!</v>
      </c>
      <c r="FK14" t="e">
        <f>AND(Data!#REF!,"AAAAAF3RbqY=")</f>
        <v>#REF!</v>
      </c>
      <c r="FL14" t="e">
        <f>AND(Data!#REF!,"AAAAAF3Rbqc=")</f>
        <v>#REF!</v>
      </c>
      <c r="FM14" t="e">
        <f>AND(Data!#REF!,"AAAAAF3Rbqg=")</f>
        <v>#REF!</v>
      </c>
      <c r="FN14" t="e">
        <f>AND(Data!#REF!,"AAAAAF3Rbqk=")</f>
        <v>#REF!</v>
      </c>
      <c r="FO14" t="e">
        <f>AND(Data!#REF!,"AAAAAF3Rbqo=")</f>
        <v>#REF!</v>
      </c>
      <c r="FP14" t="e">
        <f>AND(Data!#REF!,"AAAAAF3Rbqs=")</f>
        <v>#REF!</v>
      </c>
      <c r="FQ14">
        <f>IF(Data!101:101,"AAAAAF3Rbqw=",0)</f>
        <v>0</v>
      </c>
      <c r="FR14" t="e">
        <f>AND(Data!A101,"AAAAAF3Rbq0=")</f>
        <v>#VALUE!</v>
      </c>
      <c r="FS14" t="e">
        <f>AND(Data!B101,"AAAAAF3Rbq4=")</f>
        <v>#VALUE!</v>
      </c>
      <c r="FT14" t="e">
        <f>AND(Data!C101,"AAAAAF3Rbq8=")</f>
        <v>#VALUE!</v>
      </c>
      <c r="FU14" t="e">
        <f>AND(Data!D101,"AAAAAF3RbrA=")</f>
        <v>#VALUE!</v>
      </c>
      <c r="FV14" t="e">
        <f>AND(Data!E101,"AAAAAF3RbrE=")</f>
        <v>#VALUE!</v>
      </c>
      <c r="FW14" t="e">
        <f>AND(Data!F101,"AAAAAF3RbrI=")</f>
        <v>#VALUE!</v>
      </c>
      <c r="FX14" t="e">
        <f>AND(Data!G101,"AAAAAF3RbrM=")</f>
        <v>#VALUE!</v>
      </c>
      <c r="FY14" t="e">
        <f>AND(Data!H101,"AAAAAF3RbrQ=")</f>
        <v>#VALUE!</v>
      </c>
      <c r="FZ14" t="e">
        <f>AND(Data!I101,"AAAAAF3RbrU=")</f>
        <v>#VALUE!</v>
      </c>
      <c r="GA14" t="e">
        <f>AND(Data!J101,"AAAAAF3RbrY=")</f>
        <v>#VALUE!</v>
      </c>
      <c r="GB14" t="e">
        <f>AND(Data!K101,"AAAAAF3Rbrc=")</f>
        <v>#VALUE!</v>
      </c>
      <c r="GC14" t="e">
        <f>AND(Data!L101,"AAAAAF3Rbrg=")</f>
        <v>#VALUE!</v>
      </c>
      <c r="GD14" t="e">
        <f>AND(Data!M101,"AAAAAF3Rbrk=")</f>
        <v>#VALUE!</v>
      </c>
      <c r="GE14" t="e">
        <f>AND(Data!N101,"AAAAAF3Rbro=")</f>
        <v>#VALUE!</v>
      </c>
      <c r="GF14" t="e">
        <f>AND(Data!O101,"AAAAAF3Rbrs=")</f>
        <v>#VALUE!</v>
      </c>
      <c r="GG14" t="e">
        <f>AND(Data!P101,"AAAAAF3Rbrw=")</f>
        <v>#VALUE!</v>
      </c>
      <c r="GH14" t="e">
        <f>AND(Data!Q101,"AAAAAF3Rbr0=")</f>
        <v>#VALUE!</v>
      </c>
      <c r="GI14" t="e">
        <f>AND(Data!#REF!,"AAAAAF3Rbr4=")</f>
        <v>#REF!</v>
      </c>
      <c r="GJ14" t="e">
        <f>AND(Data!#REF!,"AAAAAF3Rbr8=")</f>
        <v>#REF!</v>
      </c>
      <c r="GK14" t="e">
        <f>AND(Data!#REF!,"AAAAAF3RbsA=")</f>
        <v>#REF!</v>
      </c>
      <c r="GL14" t="e">
        <f>AND(Data!#REF!,"AAAAAF3RbsE=")</f>
        <v>#REF!</v>
      </c>
      <c r="GM14" t="e">
        <f>AND(Data!#REF!,"AAAAAF3RbsI=")</f>
        <v>#REF!</v>
      </c>
      <c r="GN14" t="e">
        <f>AND(Data!#REF!,"AAAAAF3RbsM=")</f>
        <v>#REF!</v>
      </c>
      <c r="GO14" t="e">
        <f>AND(Data!#REF!,"AAAAAF3RbsQ=")</f>
        <v>#REF!</v>
      </c>
      <c r="GP14" t="e">
        <f>AND(Data!#REF!,"AAAAAF3RbsU=")</f>
        <v>#REF!</v>
      </c>
      <c r="GQ14" t="e">
        <f>AND(Data!#REF!,"AAAAAF3RbsY=")</f>
        <v>#REF!</v>
      </c>
      <c r="GR14" t="e">
        <f>AND(Data!#REF!,"AAAAAF3Rbsc=")</f>
        <v>#REF!</v>
      </c>
      <c r="GS14">
        <f>IF(Data!102:102,"AAAAAF3Rbsg=",0)</f>
        <v>0</v>
      </c>
      <c r="GT14" t="e">
        <f>AND(Data!A102,"AAAAAF3Rbsk=")</f>
        <v>#VALUE!</v>
      </c>
      <c r="GU14" t="e">
        <f>AND(Data!B102,"AAAAAF3Rbso=")</f>
        <v>#VALUE!</v>
      </c>
      <c r="GV14" t="e">
        <f>AND(Data!C102,"AAAAAF3Rbss=")</f>
        <v>#VALUE!</v>
      </c>
      <c r="GW14" t="e">
        <f>AND(Data!D102,"AAAAAF3Rbsw=")</f>
        <v>#VALUE!</v>
      </c>
      <c r="GX14" t="e">
        <f>AND(Data!E102,"AAAAAF3Rbs0=")</f>
        <v>#VALUE!</v>
      </c>
      <c r="GY14" t="e">
        <f>AND(Data!F102,"AAAAAF3Rbs4=")</f>
        <v>#VALUE!</v>
      </c>
      <c r="GZ14" t="e">
        <f>AND(Data!G102,"AAAAAF3Rbs8=")</f>
        <v>#VALUE!</v>
      </c>
      <c r="HA14" t="e">
        <f>AND(Data!H102,"AAAAAF3RbtA=")</f>
        <v>#VALUE!</v>
      </c>
      <c r="HB14" t="e">
        <f>AND(Data!I102,"AAAAAF3RbtE=")</f>
        <v>#VALUE!</v>
      </c>
      <c r="HC14" t="e">
        <f>AND(Data!J102,"AAAAAF3RbtI=")</f>
        <v>#VALUE!</v>
      </c>
      <c r="HD14" t="e">
        <f>AND(Data!K102,"AAAAAF3RbtM=")</f>
        <v>#VALUE!</v>
      </c>
      <c r="HE14" t="e">
        <f>AND(Data!L102,"AAAAAF3RbtQ=")</f>
        <v>#VALUE!</v>
      </c>
      <c r="HF14" t="e">
        <f>AND(Data!M102,"AAAAAF3RbtU=")</f>
        <v>#VALUE!</v>
      </c>
      <c r="HG14" t="e">
        <f>AND(Data!N102,"AAAAAF3RbtY=")</f>
        <v>#VALUE!</v>
      </c>
      <c r="HH14" t="e">
        <f>AND(Data!O102,"AAAAAF3Rbtc=")</f>
        <v>#VALUE!</v>
      </c>
      <c r="HI14" t="e">
        <f>AND(Data!P102,"AAAAAF3Rbtg=")</f>
        <v>#VALUE!</v>
      </c>
      <c r="HJ14" t="e">
        <f>AND(Data!Q102,"AAAAAF3Rbtk=")</f>
        <v>#VALUE!</v>
      </c>
      <c r="HK14" t="e">
        <f>AND(Data!#REF!,"AAAAAF3Rbto=")</f>
        <v>#REF!</v>
      </c>
      <c r="HL14" t="e">
        <f>AND(Data!#REF!,"AAAAAF3Rbts=")</f>
        <v>#REF!</v>
      </c>
      <c r="HM14" t="e">
        <f>AND(Data!#REF!,"AAAAAF3Rbtw=")</f>
        <v>#REF!</v>
      </c>
      <c r="HN14" t="e">
        <f>AND(Data!#REF!,"AAAAAF3Rbt0=")</f>
        <v>#REF!</v>
      </c>
      <c r="HO14" t="e">
        <f>AND(Data!#REF!,"AAAAAF3Rbt4=")</f>
        <v>#REF!</v>
      </c>
      <c r="HP14" t="e">
        <f>AND(Data!#REF!,"AAAAAF3Rbt8=")</f>
        <v>#REF!</v>
      </c>
      <c r="HQ14" t="e">
        <f>AND(Data!#REF!,"AAAAAF3RbuA=")</f>
        <v>#REF!</v>
      </c>
      <c r="HR14" t="e">
        <f>AND(Data!#REF!,"AAAAAF3RbuE=")</f>
        <v>#REF!</v>
      </c>
      <c r="HS14" t="e">
        <f>AND(Data!#REF!,"AAAAAF3RbuI=")</f>
        <v>#REF!</v>
      </c>
      <c r="HT14" t="e">
        <f>AND(Data!#REF!,"AAAAAF3RbuM=")</f>
        <v>#REF!</v>
      </c>
      <c r="HU14">
        <f>IF(Data!103:103,"AAAAAF3RbuQ=",0)</f>
        <v>0</v>
      </c>
      <c r="HV14" t="e">
        <f>AND(Data!A103,"AAAAAF3RbuU=")</f>
        <v>#VALUE!</v>
      </c>
      <c r="HW14" t="e">
        <f>AND(Data!B103,"AAAAAF3RbuY=")</f>
        <v>#VALUE!</v>
      </c>
      <c r="HX14" t="e">
        <f>AND(Data!C103,"AAAAAF3Rbuc=")</f>
        <v>#VALUE!</v>
      </c>
      <c r="HY14" t="e">
        <f>AND(Data!D103,"AAAAAF3Rbug=")</f>
        <v>#VALUE!</v>
      </c>
      <c r="HZ14" t="e">
        <f>AND(Data!E103,"AAAAAF3Rbuk=")</f>
        <v>#VALUE!</v>
      </c>
      <c r="IA14" t="e">
        <f>AND(Data!F103,"AAAAAF3Rbuo=")</f>
        <v>#VALUE!</v>
      </c>
      <c r="IB14" t="e">
        <f>AND(Data!G103,"AAAAAF3Rbus=")</f>
        <v>#VALUE!</v>
      </c>
      <c r="IC14" t="e">
        <f>AND(Data!H103,"AAAAAF3Rbuw=")</f>
        <v>#VALUE!</v>
      </c>
      <c r="ID14" t="e">
        <f>AND(Data!I103,"AAAAAF3Rbu0=")</f>
        <v>#VALUE!</v>
      </c>
      <c r="IE14" t="e">
        <f>AND(Data!J103,"AAAAAF3Rbu4=")</f>
        <v>#VALUE!</v>
      </c>
      <c r="IF14" t="e">
        <f>AND(Data!K103,"AAAAAF3Rbu8=")</f>
        <v>#VALUE!</v>
      </c>
      <c r="IG14" t="e">
        <f>AND(Data!L103,"AAAAAF3RbvA=")</f>
        <v>#VALUE!</v>
      </c>
      <c r="IH14" t="e">
        <f>AND(Data!M103,"AAAAAF3RbvE=")</f>
        <v>#VALUE!</v>
      </c>
      <c r="II14" t="e">
        <f>AND(Data!N103,"AAAAAF3RbvI=")</f>
        <v>#VALUE!</v>
      </c>
      <c r="IJ14" t="e">
        <f>AND(Data!O103,"AAAAAF3RbvM=")</f>
        <v>#VALUE!</v>
      </c>
      <c r="IK14" t="e">
        <f>AND(Data!P103,"AAAAAF3RbvQ=")</f>
        <v>#VALUE!</v>
      </c>
      <c r="IL14" t="e">
        <f>AND(Data!Q103,"AAAAAF3RbvU=")</f>
        <v>#VALUE!</v>
      </c>
      <c r="IM14" t="e">
        <f>AND(Data!#REF!,"AAAAAF3RbvY=")</f>
        <v>#REF!</v>
      </c>
      <c r="IN14" t="e">
        <f>AND(Data!#REF!,"AAAAAF3Rbvc=")</f>
        <v>#REF!</v>
      </c>
      <c r="IO14" t="e">
        <f>AND(Data!#REF!,"AAAAAF3Rbvg=")</f>
        <v>#REF!</v>
      </c>
      <c r="IP14" t="e">
        <f>AND(Data!#REF!,"AAAAAF3Rbvk=")</f>
        <v>#REF!</v>
      </c>
      <c r="IQ14" t="e">
        <f>AND(Data!#REF!,"AAAAAF3Rbvo=")</f>
        <v>#REF!</v>
      </c>
      <c r="IR14" t="e">
        <f>AND(Data!#REF!,"AAAAAF3Rbvs=")</f>
        <v>#REF!</v>
      </c>
      <c r="IS14" t="e">
        <f>AND(Data!#REF!,"AAAAAF3Rbvw=")</f>
        <v>#REF!</v>
      </c>
      <c r="IT14" t="e">
        <f>AND(Data!#REF!,"AAAAAF3Rbv0=")</f>
        <v>#REF!</v>
      </c>
      <c r="IU14" t="e">
        <f>AND(Data!#REF!,"AAAAAF3Rbv4=")</f>
        <v>#REF!</v>
      </c>
      <c r="IV14" t="e">
        <f>AND(Data!#REF!,"AAAAAF3Rbv8=")</f>
        <v>#REF!</v>
      </c>
    </row>
    <row r="15" spans="1:256">
      <c r="A15" t="str">
        <f>IF(Data!104:104,"AAAAAFvfcwA=",0)</f>
        <v>AAAAAFvfcwA=</v>
      </c>
      <c r="B15" t="e">
        <f>AND(Data!A104,"AAAAAFvfcwE=")</f>
        <v>#VALUE!</v>
      </c>
      <c r="C15" t="e">
        <f>AND(Data!B104,"AAAAAFvfcwI=")</f>
        <v>#VALUE!</v>
      </c>
      <c r="D15" t="e">
        <f>AND(Data!C104,"AAAAAFvfcwM=")</f>
        <v>#VALUE!</v>
      </c>
      <c r="E15" t="e">
        <f>AND(Data!D104,"AAAAAFvfcwQ=")</f>
        <v>#VALUE!</v>
      </c>
      <c r="F15" t="e">
        <f>AND(Data!E104,"AAAAAFvfcwU=")</f>
        <v>#VALUE!</v>
      </c>
      <c r="G15" t="e">
        <f>AND(Data!F104,"AAAAAFvfcwY=")</f>
        <v>#VALUE!</v>
      </c>
      <c r="H15" t="e">
        <f>AND(Data!G104,"AAAAAFvfcwc=")</f>
        <v>#VALUE!</v>
      </c>
      <c r="I15" t="e">
        <f>AND(Data!H104,"AAAAAFvfcwg=")</f>
        <v>#VALUE!</v>
      </c>
      <c r="J15" t="e">
        <f>AND(Data!I104,"AAAAAFvfcwk=")</f>
        <v>#VALUE!</v>
      </c>
      <c r="K15" t="e">
        <f>AND(Data!J104,"AAAAAFvfcwo=")</f>
        <v>#VALUE!</v>
      </c>
      <c r="L15" t="e">
        <f>AND(Data!K104,"AAAAAFvfcws=")</f>
        <v>#VALUE!</v>
      </c>
      <c r="M15" t="e">
        <f>AND(Data!L104,"AAAAAFvfcww=")</f>
        <v>#VALUE!</v>
      </c>
      <c r="N15" t="e">
        <f>AND(Data!M104,"AAAAAFvfcw0=")</f>
        <v>#VALUE!</v>
      </c>
      <c r="O15" t="e">
        <f>AND(Data!N104,"AAAAAFvfcw4=")</f>
        <v>#VALUE!</v>
      </c>
      <c r="P15" t="e">
        <f>AND(Data!O104,"AAAAAFvfcw8=")</f>
        <v>#VALUE!</v>
      </c>
      <c r="Q15" t="e">
        <f>AND(Data!P104,"AAAAAFvfcxA=")</f>
        <v>#VALUE!</v>
      </c>
      <c r="R15" t="e">
        <f>AND(Data!Q104,"AAAAAFvfcxE=")</f>
        <v>#VALUE!</v>
      </c>
      <c r="S15" t="e">
        <f>AND(Data!#REF!,"AAAAAFvfcxI=")</f>
        <v>#REF!</v>
      </c>
      <c r="T15" t="e">
        <f>AND(Data!#REF!,"AAAAAFvfcxM=")</f>
        <v>#REF!</v>
      </c>
      <c r="U15" t="e">
        <f>AND(Data!#REF!,"AAAAAFvfcxQ=")</f>
        <v>#REF!</v>
      </c>
      <c r="V15" t="e">
        <f>AND(Data!#REF!,"AAAAAFvfcxU=")</f>
        <v>#REF!</v>
      </c>
      <c r="W15" t="e">
        <f>AND(Data!#REF!,"AAAAAFvfcxY=")</f>
        <v>#REF!</v>
      </c>
      <c r="X15" t="e">
        <f>AND(Data!#REF!,"AAAAAFvfcxc=")</f>
        <v>#REF!</v>
      </c>
      <c r="Y15" t="e">
        <f>AND(Data!#REF!,"AAAAAFvfcxg=")</f>
        <v>#REF!</v>
      </c>
      <c r="Z15" t="e">
        <f>AND(Data!#REF!,"AAAAAFvfcxk=")</f>
        <v>#REF!</v>
      </c>
      <c r="AA15" t="e">
        <f>AND(Data!#REF!,"AAAAAFvfcxo=")</f>
        <v>#REF!</v>
      </c>
      <c r="AB15" t="e">
        <f>AND(Data!#REF!,"AAAAAFvfcxs=")</f>
        <v>#REF!</v>
      </c>
      <c r="AC15">
        <f>IF(Data!105:105,"AAAAAFvfcxw=",0)</f>
        <v>0</v>
      </c>
      <c r="AD15" t="e">
        <f>AND(Data!A105,"AAAAAFvfcx0=")</f>
        <v>#VALUE!</v>
      </c>
      <c r="AE15" t="e">
        <f>AND(Data!B105,"AAAAAFvfcx4=")</f>
        <v>#VALUE!</v>
      </c>
      <c r="AF15" t="e">
        <f>AND(Data!C105,"AAAAAFvfcx8=")</f>
        <v>#VALUE!</v>
      </c>
      <c r="AG15" t="e">
        <f>AND(Data!D105,"AAAAAFvfcyA=")</f>
        <v>#VALUE!</v>
      </c>
      <c r="AH15" t="e">
        <f>AND(Data!E105,"AAAAAFvfcyE=")</f>
        <v>#VALUE!</v>
      </c>
      <c r="AI15" t="e">
        <f>AND(Data!F105,"AAAAAFvfcyI=")</f>
        <v>#VALUE!</v>
      </c>
      <c r="AJ15" t="e">
        <f>AND(Data!G105,"AAAAAFvfcyM=")</f>
        <v>#VALUE!</v>
      </c>
      <c r="AK15" t="e">
        <f>AND(Data!H105,"AAAAAFvfcyQ=")</f>
        <v>#VALUE!</v>
      </c>
      <c r="AL15" t="e">
        <f>AND(Data!I105,"AAAAAFvfcyU=")</f>
        <v>#VALUE!</v>
      </c>
      <c r="AM15" t="e">
        <f>AND(Data!J105,"AAAAAFvfcyY=")</f>
        <v>#VALUE!</v>
      </c>
      <c r="AN15" t="e">
        <f>AND(Data!K105,"AAAAAFvfcyc=")</f>
        <v>#VALUE!</v>
      </c>
      <c r="AO15" t="e">
        <f>AND(Data!L105,"AAAAAFvfcyg=")</f>
        <v>#VALUE!</v>
      </c>
      <c r="AP15" t="e">
        <f>AND(Data!M105,"AAAAAFvfcyk=")</f>
        <v>#VALUE!</v>
      </c>
      <c r="AQ15" t="e">
        <f>AND(Data!N105,"AAAAAFvfcyo=")</f>
        <v>#VALUE!</v>
      </c>
      <c r="AR15" t="e">
        <f>AND(Data!O105,"AAAAAFvfcys=")</f>
        <v>#VALUE!</v>
      </c>
      <c r="AS15" t="e">
        <f>AND(Data!P105,"AAAAAFvfcyw=")</f>
        <v>#VALUE!</v>
      </c>
      <c r="AT15" t="e">
        <f>AND(Data!Q105,"AAAAAFvfcy0=")</f>
        <v>#VALUE!</v>
      </c>
      <c r="AU15" t="e">
        <f>AND(Data!#REF!,"AAAAAFvfcy4=")</f>
        <v>#REF!</v>
      </c>
      <c r="AV15" t="e">
        <f>AND(Data!#REF!,"AAAAAFvfcy8=")</f>
        <v>#REF!</v>
      </c>
      <c r="AW15" t="e">
        <f>AND(Data!#REF!,"AAAAAFvfczA=")</f>
        <v>#REF!</v>
      </c>
      <c r="AX15" t="e">
        <f>AND(Data!#REF!,"AAAAAFvfczE=")</f>
        <v>#REF!</v>
      </c>
      <c r="AY15" t="e">
        <f>AND(Data!#REF!,"AAAAAFvfczI=")</f>
        <v>#REF!</v>
      </c>
      <c r="AZ15" t="e">
        <f>AND(Data!#REF!,"AAAAAFvfczM=")</f>
        <v>#REF!</v>
      </c>
      <c r="BA15" t="e">
        <f>AND(Data!#REF!,"AAAAAFvfczQ=")</f>
        <v>#REF!</v>
      </c>
      <c r="BB15" t="e">
        <f>AND(Data!#REF!,"AAAAAFvfczU=")</f>
        <v>#REF!</v>
      </c>
      <c r="BC15" t="e">
        <f>AND(Data!#REF!,"AAAAAFvfczY=")</f>
        <v>#REF!</v>
      </c>
      <c r="BD15" t="e">
        <f>AND(Data!#REF!,"AAAAAFvfczc=")</f>
        <v>#REF!</v>
      </c>
      <c r="BE15">
        <f>IF(Data!106:106,"AAAAAFvfczg=",0)</f>
        <v>0</v>
      </c>
      <c r="BF15" t="e">
        <f>AND(Data!A106,"AAAAAFvfczk=")</f>
        <v>#VALUE!</v>
      </c>
      <c r="BG15" t="e">
        <f>AND(Data!B106,"AAAAAFvfczo=")</f>
        <v>#VALUE!</v>
      </c>
      <c r="BH15" t="e">
        <f>AND(Data!C106,"AAAAAFvfczs=")</f>
        <v>#VALUE!</v>
      </c>
      <c r="BI15" t="e">
        <f>AND(Data!D106,"AAAAAFvfczw=")</f>
        <v>#VALUE!</v>
      </c>
      <c r="BJ15" t="e">
        <f>AND(Data!E106,"AAAAAFvfcz0=")</f>
        <v>#VALUE!</v>
      </c>
      <c r="BK15" t="e">
        <f>AND(Data!F106,"AAAAAFvfcz4=")</f>
        <v>#VALUE!</v>
      </c>
      <c r="BL15" t="e">
        <f>AND(Data!G106,"AAAAAFvfcz8=")</f>
        <v>#VALUE!</v>
      </c>
      <c r="BM15" t="e">
        <f>AND(Data!H106,"AAAAAFvfc0A=")</f>
        <v>#VALUE!</v>
      </c>
      <c r="BN15" t="e">
        <f>AND(Data!I106,"AAAAAFvfc0E=")</f>
        <v>#VALUE!</v>
      </c>
      <c r="BO15" t="e">
        <f>AND(Data!J106,"AAAAAFvfc0I=")</f>
        <v>#VALUE!</v>
      </c>
      <c r="BP15" t="e">
        <f>AND(Data!K106,"AAAAAFvfc0M=")</f>
        <v>#VALUE!</v>
      </c>
      <c r="BQ15" t="e">
        <f>AND(Data!L106,"AAAAAFvfc0Q=")</f>
        <v>#VALUE!</v>
      </c>
      <c r="BR15" t="e">
        <f>AND(Data!M106,"AAAAAFvfc0U=")</f>
        <v>#VALUE!</v>
      </c>
      <c r="BS15" t="e">
        <f>AND(Data!N106,"AAAAAFvfc0Y=")</f>
        <v>#VALUE!</v>
      </c>
      <c r="BT15" t="e">
        <f>AND(Data!O106,"AAAAAFvfc0c=")</f>
        <v>#VALUE!</v>
      </c>
      <c r="BU15" t="e">
        <f>AND(Data!P106,"AAAAAFvfc0g=")</f>
        <v>#VALUE!</v>
      </c>
      <c r="BV15" t="e">
        <f>AND(Data!Q106,"AAAAAFvfc0k=")</f>
        <v>#VALUE!</v>
      </c>
      <c r="BW15" t="e">
        <f>AND(Data!#REF!,"AAAAAFvfc0o=")</f>
        <v>#REF!</v>
      </c>
      <c r="BX15" t="e">
        <f>AND(Data!#REF!,"AAAAAFvfc0s=")</f>
        <v>#REF!</v>
      </c>
      <c r="BY15" t="e">
        <f>AND(Data!#REF!,"AAAAAFvfc0w=")</f>
        <v>#REF!</v>
      </c>
      <c r="BZ15" t="e">
        <f>AND(Data!#REF!,"AAAAAFvfc00=")</f>
        <v>#REF!</v>
      </c>
      <c r="CA15" t="e">
        <f>AND(Data!#REF!,"AAAAAFvfc04=")</f>
        <v>#REF!</v>
      </c>
      <c r="CB15" t="e">
        <f>AND(Data!#REF!,"AAAAAFvfc08=")</f>
        <v>#REF!</v>
      </c>
      <c r="CC15" t="e">
        <f>AND(Data!#REF!,"AAAAAFvfc1A=")</f>
        <v>#REF!</v>
      </c>
      <c r="CD15" t="e">
        <f>AND(Data!#REF!,"AAAAAFvfc1E=")</f>
        <v>#REF!</v>
      </c>
      <c r="CE15" t="e">
        <f>AND(Data!#REF!,"AAAAAFvfc1I=")</f>
        <v>#REF!</v>
      </c>
      <c r="CF15" t="e">
        <f>AND(Data!#REF!,"AAAAAFvfc1M=")</f>
        <v>#REF!</v>
      </c>
      <c r="CG15">
        <f>IF(Data!107:107,"AAAAAFvfc1Q=",0)</f>
        <v>0</v>
      </c>
      <c r="CH15" t="e">
        <f>AND(Data!A107,"AAAAAFvfc1U=")</f>
        <v>#VALUE!</v>
      </c>
      <c r="CI15" t="e">
        <f>AND(Data!B107,"AAAAAFvfc1Y=")</f>
        <v>#VALUE!</v>
      </c>
      <c r="CJ15" t="e">
        <f>AND(Data!C107,"AAAAAFvfc1c=")</f>
        <v>#VALUE!</v>
      </c>
      <c r="CK15" t="e">
        <f>AND(Data!D107,"AAAAAFvfc1g=")</f>
        <v>#VALUE!</v>
      </c>
      <c r="CL15" t="e">
        <f>AND(Data!E107,"AAAAAFvfc1k=")</f>
        <v>#VALUE!</v>
      </c>
      <c r="CM15" t="e">
        <f>AND(Data!F107,"AAAAAFvfc1o=")</f>
        <v>#VALUE!</v>
      </c>
      <c r="CN15" t="e">
        <f>AND(Data!G107,"AAAAAFvfc1s=")</f>
        <v>#VALUE!</v>
      </c>
      <c r="CO15" t="e">
        <f>AND(Data!H107,"AAAAAFvfc1w=")</f>
        <v>#VALUE!</v>
      </c>
      <c r="CP15" t="e">
        <f>AND(Data!I107,"AAAAAFvfc10=")</f>
        <v>#VALUE!</v>
      </c>
      <c r="CQ15" t="e">
        <f>AND(Data!J107,"AAAAAFvfc14=")</f>
        <v>#VALUE!</v>
      </c>
      <c r="CR15" t="e">
        <f>AND(Data!K107,"AAAAAFvfc18=")</f>
        <v>#VALUE!</v>
      </c>
      <c r="CS15" t="e">
        <f>AND(Data!L107,"AAAAAFvfc2A=")</f>
        <v>#VALUE!</v>
      </c>
      <c r="CT15" t="e">
        <f>AND(Data!M107,"AAAAAFvfc2E=")</f>
        <v>#VALUE!</v>
      </c>
      <c r="CU15" t="e">
        <f>AND(Data!N107,"AAAAAFvfc2I=")</f>
        <v>#VALUE!</v>
      </c>
      <c r="CV15" t="e">
        <f>AND(Data!O107,"AAAAAFvfc2M=")</f>
        <v>#VALUE!</v>
      </c>
      <c r="CW15" t="e">
        <f>AND(Data!P107,"AAAAAFvfc2Q=")</f>
        <v>#VALUE!</v>
      </c>
      <c r="CX15" t="e">
        <f>AND(Data!Q107,"AAAAAFvfc2U=")</f>
        <v>#VALUE!</v>
      </c>
      <c r="CY15" t="e">
        <f>AND(Data!#REF!,"AAAAAFvfc2Y=")</f>
        <v>#REF!</v>
      </c>
      <c r="CZ15" t="e">
        <f>AND(Data!#REF!,"AAAAAFvfc2c=")</f>
        <v>#REF!</v>
      </c>
      <c r="DA15" t="e">
        <f>AND(Data!#REF!,"AAAAAFvfc2g=")</f>
        <v>#REF!</v>
      </c>
      <c r="DB15" t="e">
        <f>AND(Data!#REF!,"AAAAAFvfc2k=")</f>
        <v>#REF!</v>
      </c>
      <c r="DC15" t="e">
        <f>AND(Data!#REF!,"AAAAAFvfc2o=")</f>
        <v>#REF!</v>
      </c>
      <c r="DD15" t="e">
        <f>AND(Data!#REF!,"AAAAAFvfc2s=")</f>
        <v>#REF!</v>
      </c>
      <c r="DE15" t="e">
        <f>AND(Data!#REF!,"AAAAAFvfc2w=")</f>
        <v>#REF!</v>
      </c>
      <c r="DF15" t="e">
        <f>AND(Data!#REF!,"AAAAAFvfc20=")</f>
        <v>#REF!</v>
      </c>
      <c r="DG15" t="e">
        <f>AND(Data!#REF!,"AAAAAFvfc24=")</f>
        <v>#REF!</v>
      </c>
      <c r="DH15" t="e">
        <f>AND(Data!#REF!,"AAAAAFvfc28=")</f>
        <v>#REF!</v>
      </c>
      <c r="DI15">
        <f>IF(Data!108:108,"AAAAAFvfc3A=",0)</f>
        <v>0</v>
      </c>
      <c r="DJ15" t="e">
        <f>AND(Data!A108,"AAAAAFvfc3E=")</f>
        <v>#VALUE!</v>
      </c>
      <c r="DK15" t="e">
        <f>AND(Data!B108,"AAAAAFvfc3I=")</f>
        <v>#VALUE!</v>
      </c>
      <c r="DL15" t="e">
        <f>AND(Data!C108,"AAAAAFvfc3M=")</f>
        <v>#VALUE!</v>
      </c>
      <c r="DM15" t="e">
        <f>AND(Data!D108,"AAAAAFvfc3Q=")</f>
        <v>#VALUE!</v>
      </c>
      <c r="DN15" t="e">
        <f>AND(Data!E108,"AAAAAFvfc3U=")</f>
        <v>#VALUE!</v>
      </c>
      <c r="DO15" t="e">
        <f>AND(Data!F108,"AAAAAFvfc3Y=")</f>
        <v>#VALUE!</v>
      </c>
      <c r="DP15" t="e">
        <f>AND(Data!G108,"AAAAAFvfc3c=")</f>
        <v>#VALUE!</v>
      </c>
      <c r="DQ15" t="e">
        <f>AND(Data!H108,"AAAAAFvfc3g=")</f>
        <v>#VALUE!</v>
      </c>
      <c r="DR15" t="e">
        <f>AND(Data!I108,"AAAAAFvfc3k=")</f>
        <v>#VALUE!</v>
      </c>
      <c r="DS15" t="e">
        <f>AND(Data!J108,"AAAAAFvfc3o=")</f>
        <v>#VALUE!</v>
      </c>
      <c r="DT15" t="e">
        <f>AND(Data!K108,"AAAAAFvfc3s=")</f>
        <v>#VALUE!</v>
      </c>
      <c r="DU15" t="e">
        <f>AND(Data!L108,"AAAAAFvfc3w=")</f>
        <v>#VALUE!</v>
      </c>
      <c r="DV15" t="e">
        <f>AND(Data!M108,"AAAAAFvfc30=")</f>
        <v>#VALUE!</v>
      </c>
      <c r="DW15" t="e">
        <f>AND(Data!N108,"AAAAAFvfc34=")</f>
        <v>#VALUE!</v>
      </c>
      <c r="DX15" t="e">
        <f>AND(Data!O108,"AAAAAFvfc38=")</f>
        <v>#VALUE!</v>
      </c>
      <c r="DY15" t="e">
        <f>AND(Data!P108,"AAAAAFvfc4A=")</f>
        <v>#VALUE!</v>
      </c>
      <c r="DZ15" t="e">
        <f>AND(Data!Q108,"AAAAAFvfc4E=")</f>
        <v>#VALUE!</v>
      </c>
      <c r="EA15" t="e">
        <f>AND(Data!#REF!,"AAAAAFvfc4I=")</f>
        <v>#REF!</v>
      </c>
      <c r="EB15" t="e">
        <f>AND(Data!#REF!,"AAAAAFvfc4M=")</f>
        <v>#REF!</v>
      </c>
      <c r="EC15" t="e">
        <f>AND(Data!#REF!,"AAAAAFvfc4Q=")</f>
        <v>#REF!</v>
      </c>
      <c r="ED15" t="e">
        <f>AND(Data!#REF!,"AAAAAFvfc4U=")</f>
        <v>#REF!</v>
      </c>
      <c r="EE15" t="e">
        <f>AND(Data!#REF!,"AAAAAFvfc4Y=")</f>
        <v>#REF!</v>
      </c>
      <c r="EF15" t="e">
        <f>AND(Data!#REF!,"AAAAAFvfc4c=")</f>
        <v>#REF!</v>
      </c>
      <c r="EG15" t="e">
        <f>AND(Data!#REF!,"AAAAAFvfc4g=")</f>
        <v>#REF!</v>
      </c>
      <c r="EH15" t="e">
        <f>AND(Data!#REF!,"AAAAAFvfc4k=")</f>
        <v>#REF!</v>
      </c>
      <c r="EI15" t="e">
        <f>AND(Data!#REF!,"AAAAAFvfc4o=")</f>
        <v>#REF!</v>
      </c>
      <c r="EJ15" t="e">
        <f>AND(Data!#REF!,"AAAAAFvfc4s=")</f>
        <v>#REF!</v>
      </c>
      <c r="EK15">
        <f>IF(Data!109:109,"AAAAAFvfc4w=",0)</f>
        <v>0</v>
      </c>
      <c r="EL15" t="e">
        <f>AND(Data!A109,"AAAAAFvfc40=")</f>
        <v>#VALUE!</v>
      </c>
      <c r="EM15" t="e">
        <f>AND(Data!B109,"AAAAAFvfc44=")</f>
        <v>#VALUE!</v>
      </c>
      <c r="EN15" t="e">
        <f>AND(Data!C109,"AAAAAFvfc48=")</f>
        <v>#VALUE!</v>
      </c>
      <c r="EO15" t="e">
        <f>AND(Data!D109,"AAAAAFvfc5A=")</f>
        <v>#VALUE!</v>
      </c>
      <c r="EP15" t="e">
        <f>AND(Data!E109,"AAAAAFvfc5E=")</f>
        <v>#VALUE!</v>
      </c>
      <c r="EQ15" t="e">
        <f>AND(Data!F109,"AAAAAFvfc5I=")</f>
        <v>#VALUE!</v>
      </c>
      <c r="ER15" t="e">
        <f>AND(Data!G109,"AAAAAFvfc5M=")</f>
        <v>#VALUE!</v>
      </c>
      <c r="ES15" t="e">
        <f>AND(Data!H109,"AAAAAFvfc5Q=")</f>
        <v>#VALUE!</v>
      </c>
      <c r="ET15" t="e">
        <f>AND(Data!I109,"AAAAAFvfc5U=")</f>
        <v>#VALUE!</v>
      </c>
      <c r="EU15" t="e">
        <f>AND(Data!J109,"AAAAAFvfc5Y=")</f>
        <v>#VALUE!</v>
      </c>
      <c r="EV15" t="e">
        <f>AND(Data!K109,"AAAAAFvfc5c=")</f>
        <v>#VALUE!</v>
      </c>
      <c r="EW15" t="e">
        <f>AND(Data!L109,"AAAAAFvfc5g=")</f>
        <v>#VALUE!</v>
      </c>
      <c r="EX15" t="e">
        <f>AND(Data!M109,"AAAAAFvfc5k=")</f>
        <v>#VALUE!</v>
      </c>
      <c r="EY15" t="e">
        <f>AND(Data!N109,"AAAAAFvfc5o=")</f>
        <v>#VALUE!</v>
      </c>
      <c r="EZ15" t="e">
        <f>AND(Data!O109,"AAAAAFvfc5s=")</f>
        <v>#VALUE!</v>
      </c>
      <c r="FA15" t="e">
        <f>AND(Data!P109,"AAAAAFvfc5w=")</f>
        <v>#VALUE!</v>
      </c>
      <c r="FB15" t="e">
        <f>AND(Data!Q109,"AAAAAFvfc50=")</f>
        <v>#VALUE!</v>
      </c>
      <c r="FC15" t="e">
        <f>AND(Data!#REF!,"AAAAAFvfc54=")</f>
        <v>#REF!</v>
      </c>
      <c r="FD15" t="e">
        <f>AND(Data!#REF!,"AAAAAFvfc58=")</f>
        <v>#REF!</v>
      </c>
      <c r="FE15" t="e">
        <f>AND(Data!#REF!,"AAAAAFvfc6A=")</f>
        <v>#REF!</v>
      </c>
      <c r="FF15" t="e">
        <f>AND(Data!#REF!,"AAAAAFvfc6E=")</f>
        <v>#REF!</v>
      </c>
      <c r="FG15" t="e">
        <f>AND(Data!#REF!,"AAAAAFvfc6I=")</f>
        <v>#REF!</v>
      </c>
      <c r="FH15" t="e">
        <f>AND(Data!#REF!,"AAAAAFvfc6M=")</f>
        <v>#REF!</v>
      </c>
      <c r="FI15" t="e">
        <f>AND(Data!#REF!,"AAAAAFvfc6Q=")</f>
        <v>#REF!</v>
      </c>
      <c r="FJ15" t="e">
        <f>AND(Data!#REF!,"AAAAAFvfc6U=")</f>
        <v>#REF!</v>
      </c>
      <c r="FK15" t="e">
        <f>AND(Data!#REF!,"AAAAAFvfc6Y=")</f>
        <v>#REF!</v>
      </c>
      <c r="FL15" t="e">
        <f>AND(Data!#REF!,"AAAAAFvfc6c=")</f>
        <v>#REF!</v>
      </c>
      <c r="FM15">
        <f>IF(Data!110:110,"AAAAAFvfc6g=",0)</f>
        <v>0</v>
      </c>
      <c r="FN15" t="e">
        <f>AND(Data!A110,"AAAAAFvfc6k=")</f>
        <v>#VALUE!</v>
      </c>
      <c r="FO15" t="e">
        <f>AND(Data!B110,"AAAAAFvfc6o=")</f>
        <v>#VALUE!</v>
      </c>
      <c r="FP15" t="e">
        <f>AND(Data!C110,"AAAAAFvfc6s=")</f>
        <v>#VALUE!</v>
      </c>
      <c r="FQ15" t="e">
        <f>AND(Data!D110,"AAAAAFvfc6w=")</f>
        <v>#VALUE!</v>
      </c>
      <c r="FR15" t="e">
        <f>AND(Data!E110,"AAAAAFvfc60=")</f>
        <v>#VALUE!</v>
      </c>
      <c r="FS15" t="e">
        <f>AND(Data!F110,"AAAAAFvfc64=")</f>
        <v>#VALUE!</v>
      </c>
      <c r="FT15" t="e">
        <f>AND(Data!G110,"AAAAAFvfc68=")</f>
        <v>#VALUE!</v>
      </c>
      <c r="FU15" t="e">
        <f>AND(Data!H110,"AAAAAFvfc7A=")</f>
        <v>#VALUE!</v>
      </c>
      <c r="FV15" t="e">
        <f>AND(Data!I110,"AAAAAFvfc7E=")</f>
        <v>#VALUE!</v>
      </c>
      <c r="FW15" t="e">
        <f>AND(Data!J110,"AAAAAFvfc7I=")</f>
        <v>#VALUE!</v>
      </c>
      <c r="FX15" t="e">
        <f>AND(Data!K110,"AAAAAFvfc7M=")</f>
        <v>#VALUE!</v>
      </c>
      <c r="FY15" t="e">
        <f>AND(Data!L110,"AAAAAFvfc7Q=")</f>
        <v>#VALUE!</v>
      </c>
      <c r="FZ15" t="e">
        <f>AND(Data!M110,"AAAAAFvfc7U=")</f>
        <v>#VALUE!</v>
      </c>
      <c r="GA15" t="e">
        <f>AND(Data!N110,"AAAAAFvfc7Y=")</f>
        <v>#VALUE!</v>
      </c>
      <c r="GB15" t="e">
        <f>AND(Data!O110,"AAAAAFvfc7c=")</f>
        <v>#VALUE!</v>
      </c>
      <c r="GC15" t="e">
        <f>AND(Data!P110,"AAAAAFvfc7g=")</f>
        <v>#VALUE!</v>
      </c>
      <c r="GD15" t="e">
        <f>AND(Data!Q110,"AAAAAFvfc7k=")</f>
        <v>#VALUE!</v>
      </c>
      <c r="GE15" t="e">
        <f>AND(Data!#REF!,"AAAAAFvfc7o=")</f>
        <v>#REF!</v>
      </c>
      <c r="GF15" t="e">
        <f>AND(Data!#REF!,"AAAAAFvfc7s=")</f>
        <v>#REF!</v>
      </c>
      <c r="GG15" t="e">
        <f>AND(Data!#REF!,"AAAAAFvfc7w=")</f>
        <v>#REF!</v>
      </c>
      <c r="GH15" t="e">
        <f>AND(Data!#REF!,"AAAAAFvfc70=")</f>
        <v>#REF!</v>
      </c>
      <c r="GI15" t="e">
        <f>AND(Data!#REF!,"AAAAAFvfc74=")</f>
        <v>#REF!</v>
      </c>
      <c r="GJ15" t="e">
        <f>AND(Data!#REF!,"AAAAAFvfc78=")</f>
        <v>#REF!</v>
      </c>
      <c r="GK15" t="e">
        <f>AND(Data!#REF!,"AAAAAFvfc8A=")</f>
        <v>#REF!</v>
      </c>
      <c r="GL15" t="e">
        <f>AND(Data!#REF!,"AAAAAFvfc8E=")</f>
        <v>#REF!</v>
      </c>
      <c r="GM15" t="e">
        <f>AND(Data!#REF!,"AAAAAFvfc8I=")</f>
        <v>#REF!</v>
      </c>
      <c r="GN15" t="e">
        <f>AND(Data!#REF!,"AAAAAFvfc8M=")</f>
        <v>#REF!</v>
      </c>
      <c r="GO15">
        <f>IF(Data!111:111,"AAAAAFvfc8Q=",0)</f>
        <v>0</v>
      </c>
      <c r="GP15" t="e">
        <f>AND(Data!A111,"AAAAAFvfc8U=")</f>
        <v>#VALUE!</v>
      </c>
      <c r="GQ15" t="e">
        <f>AND(Data!B111,"AAAAAFvfc8Y=")</f>
        <v>#VALUE!</v>
      </c>
      <c r="GR15" t="e">
        <f>AND(Data!C111,"AAAAAFvfc8c=")</f>
        <v>#VALUE!</v>
      </c>
      <c r="GS15" t="e">
        <f>AND(Data!D111,"AAAAAFvfc8g=")</f>
        <v>#VALUE!</v>
      </c>
      <c r="GT15" t="e">
        <f>AND(Data!E111,"AAAAAFvfc8k=")</f>
        <v>#VALUE!</v>
      </c>
      <c r="GU15" t="e">
        <f>AND(Data!F111,"AAAAAFvfc8o=")</f>
        <v>#VALUE!</v>
      </c>
      <c r="GV15" t="e">
        <f>AND(Data!G111,"AAAAAFvfc8s=")</f>
        <v>#VALUE!</v>
      </c>
      <c r="GW15" t="e">
        <f>AND(Data!H111,"AAAAAFvfc8w=")</f>
        <v>#VALUE!</v>
      </c>
      <c r="GX15" t="e">
        <f>AND(Data!I111,"AAAAAFvfc80=")</f>
        <v>#VALUE!</v>
      </c>
      <c r="GY15" t="e">
        <f>AND(Data!J111,"AAAAAFvfc84=")</f>
        <v>#VALUE!</v>
      </c>
      <c r="GZ15" t="e">
        <f>AND(Data!K111,"AAAAAFvfc88=")</f>
        <v>#VALUE!</v>
      </c>
      <c r="HA15" t="e">
        <f>AND(Data!L111,"AAAAAFvfc9A=")</f>
        <v>#VALUE!</v>
      </c>
      <c r="HB15" t="e">
        <f>AND(Data!M111,"AAAAAFvfc9E=")</f>
        <v>#VALUE!</v>
      </c>
      <c r="HC15" t="e">
        <f>AND(Data!N111,"AAAAAFvfc9I=")</f>
        <v>#VALUE!</v>
      </c>
      <c r="HD15" t="e">
        <f>AND(Data!O111,"AAAAAFvfc9M=")</f>
        <v>#VALUE!</v>
      </c>
      <c r="HE15" t="e">
        <f>AND(Data!P111,"AAAAAFvfc9Q=")</f>
        <v>#VALUE!</v>
      </c>
      <c r="HF15" t="e">
        <f>AND(Data!Q111,"AAAAAFvfc9U=")</f>
        <v>#VALUE!</v>
      </c>
      <c r="HG15" t="e">
        <f>AND(Data!#REF!,"AAAAAFvfc9Y=")</f>
        <v>#REF!</v>
      </c>
      <c r="HH15" t="e">
        <f>AND(Data!#REF!,"AAAAAFvfc9c=")</f>
        <v>#REF!</v>
      </c>
      <c r="HI15" t="e">
        <f>AND(Data!#REF!,"AAAAAFvfc9g=")</f>
        <v>#REF!</v>
      </c>
      <c r="HJ15" t="e">
        <f>AND(Data!#REF!,"AAAAAFvfc9k=")</f>
        <v>#REF!</v>
      </c>
      <c r="HK15" t="e">
        <f>AND(Data!#REF!,"AAAAAFvfc9o=")</f>
        <v>#REF!</v>
      </c>
      <c r="HL15" t="e">
        <f>AND(Data!#REF!,"AAAAAFvfc9s=")</f>
        <v>#REF!</v>
      </c>
      <c r="HM15" t="e">
        <f>AND(Data!#REF!,"AAAAAFvfc9w=")</f>
        <v>#REF!</v>
      </c>
      <c r="HN15" t="e">
        <f>AND(Data!#REF!,"AAAAAFvfc90=")</f>
        <v>#REF!</v>
      </c>
      <c r="HO15" t="e">
        <f>AND(Data!#REF!,"AAAAAFvfc94=")</f>
        <v>#REF!</v>
      </c>
      <c r="HP15" t="e">
        <f>AND(Data!#REF!,"AAAAAFvfc98=")</f>
        <v>#REF!</v>
      </c>
      <c r="HQ15">
        <f>IF(Data!112:112,"AAAAAFvfc+A=",0)</f>
        <v>0</v>
      </c>
      <c r="HR15" t="e">
        <f>AND(Data!A112,"AAAAAFvfc+E=")</f>
        <v>#VALUE!</v>
      </c>
      <c r="HS15" t="e">
        <f>AND(Data!B112,"AAAAAFvfc+I=")</f>
        <v>#VALUE!</v>
      </c>
      <c r="HT15" t="e">
        <f>AND(Data!C112,"AAAAAFvfc+M=")</f>
        <v>#VALUE!</v>
      </c>
      <c r="HU15" t="e">
        <f>AND(Data!D112,"AAAAAFvfc+Q=")</f>
        <v>#VALUE!</v>
      </c>
      <c r="HV15" t="e">
        <f>AND(Data!E112,"AAAAAFvfc+U=")</f>
        <v>#VALUE!</v>
      </c>
      <c r="HW15" t="e">
        <f>AND(Data!F112,"AAAAAFvfc+Y=")</f>
        <v>#VALUE!</v>
      </c>
      <c r="HX15" t="e">
        <f>AND(Data!G112,"AAAAAFvfc+c=")</f>
        <v>#VALUE!</v>
      </c>
      <c r="HY15" t="e">
        <f>AND(Data!H112,"AAAAAFvfc+g=")</f>
        <v>#VALUE!</v>
      </c>
      <c r="HZ15" t="e">
        <f>AND(Data!I112,"AAAAAFvfc+k=")</f>
        <v>#VALUE!</v>
      </c>
      <c r="IA15" t="e">
        <f>AND(Data!J112,"AAAAAFvfc+o=")</f>
        <v>#VALUE!</v>
      </c>
      <c r="IB15" t="e">
        <f>AND(Data!K112,"AAAAAFvfc+s=")</f>
        <v>#VALUE!</v>
      </c>
      <c r="IC15" t="e">
        <f>AND(Data!L112,"AAAAAFvfc+w=")</f>
        <v>#VALUE!</v>
      </c>
      <c r="ID15" t="e">
        <f>AND(Data!M112,"AAAAAFvfc+0=")</f>
        <v>#VALUE!</v>
      </c>
      <c r="IE15" t="e">
        <f>AND(Data!N112,"AAAAAFvfc+4=")</f>
        <v>#VALUE!</v>
      </c>
      <c r="IF15" t="e">
        <f>AND(Data!O112,"AAAAAFvfc+8=")</f>
        <v>#VALUE!</v>
      </c>
      <c r="IG15" t="e">
        <f>AND(Data!P112,"AAAAAFvfc/A=")</f>
        <v>#VALUE!</v>
      </c>
      <c r="IH15" t="e">
        <f>AND(Data!Q112,"AAAAAFvfc/E=")</f>
        <v>#VALUE!</v>
      </c>
      <c r="II15" t="e">
        <f>AND(Data!#REF!,"AAAAAFvfc/I=")</f>
        <v>#REF!</v>
      </c>
      <c r="IJ15" t="e">
        <f>AND(Data!#REF!,"AAAAAFvfc/M=")</f>
        <v>#REF!</v>
      </c>
      <c r="IK15" t="e">
        <f>AND(Data!#REF!,"AAAAAFvfc/Q=")</f>
        <v>#REF!</v>
      </c>
      <c r="IL15" t="e">
        <f>AND(Data!#REF!,"AAAAAFvfc/U=")</f>
        <v>#REF!</v>
      </c>
      <c r="IM15" t="e">
        <f>AND(Data!#REF!,"AAAAAFvfc/Y=")</f>
        <v>#REF!</v>
      </c>
      <c r="IN15" t="e">
        <f>AND(Data!#REF!,"AAAAAFvfc/c=")</f>
        <v>#REF!</v>
      </c>
      <c r="IO15" t="e">
        <f>AND(Data!#REF!,"AAAAAFvfc/g=")</f>
        <v>#REF!</v>
      </c>
      <c r="IP15" t="e">
        <f>AND(Data!#REF!,"AAAAAFvfc/k=")</f>
        <v>#REF!</v>
      </c>
      <c r="IQ15" t="e">
        <f>AND(Data!#REF!,"AAAAAFvfc/o=")</f>
        <v>#REF!</v>
      </c>
      <c r="IR15" t="e">
        <f>AND(Data!#REF!,"AAAAAFvfc/s=")</f>
        <v>#REF!</v>
      </c>
      <c r="IS15">
        <f>IF(Data!113:113,"AAAAAFvfc/w=",0)</f>
        <v>0</v>
      </c>
      <c r="IT15" t="e">
        <f>AND(Data!A113,"AAAAAFvfc/0=")</f>
        <v>#VALUE!</v>
      </c>
      <c r="IU15" t="e">
        <f>AND(Data!B113,"AAAAAFvfc/4=")</f>
        <v>#VALUE!</v>
      </c>
      <c r="IV15" t="e">
        <f>AND(Data!C113,"AAAAAFvfc/8=")</f>
        <v>#VALUE!</v>
      </c>
    </row>
    <row r="16" spans="1:256">
      <c r="A16" t="e">
        <f>AND(Data!D113,"AAAAAGokvAA=")</f>
        <v>#VALUE!</v>
      </c>
      <c r="B16" t="e">
        <f>AND(Data!E113,"AAAAAGokvAE=")</f>
        <v>#VALUE!</v>
      </c>
      <c r="C16" t="e">
        <f>AND(Data!F113,"AAAAAGokvAI=")</f>
        <v>#VALUE!</v>
      </c>
      <c r="D16" t="e">
        <f>AND(Data!G113,"AAAAAGokvAM=")</f>
        <v>#VALUE!</v>
      </c>
      <c r="E16" t="e">
        <f>AND(Data!H113,"AAAAAGokvAQ=")</f>
        <v>#VALUE!</v>
      </c>
      <c r="F16" t="e">
        <f>AND(Data!I113,"AAAAAGokvAU=")</f>
        <v>#VALUE!</v>
      </c>
      <c r="G16" t="e">
        <f>AND(Data!J113,"AAAAAGokvAY=")</f>
        <v>#VALUE!</v>
      </c>
      <c r="H16" t="e">
        <f>AND(Data!K113,"AAAAAGokvAc=")</f>
        <v>#VALUE!</v>
      </c>
      <c r="I16" t="e">
        <f>AND(Data!L113,"AAAAAGokvAg=")</f>
        <v>#VALUE!</v>
      </c>
      <c r="J16" t="e">
        <f>AND(Data!M113,"AAAAAGokvAk=")</f>
        <v>#VALUE!</v>
      </c>
      <c r="K16" t="e">
        <f>AND(Data!N113,"AAAAAGokvAo=")</f>
        <v>#VALUE!</v>
      </c>
      <c r="L16" t="e">
        <f>AND(Data!O113,"AAAAAGokvAs=")</f>
        <v>#VALUE!</v>
      </c>
      <c r="M16" t="e">
        <f>AND(Data!P113,"AAAAAGokvAw=")</f>
        <v>#VALUE!</v>
      </c>
      <c r="N16" t="e">
        <f>AND(Data!Q113,"AAAAAGokvA0=")</f>
        <v>#VALUE!</v>
      </c>
      <c r="O16" t="e">
        <f>AND(Data!#REF!,"AAAAAGokvA4=")</f>
        <v>#REF!</v>
      </c>
      <c r="P16" t="e">
        <f>AND(Data!#REF!,"AAAAAGokvA8=")</f>
        <v>#REF!</v>
      </c>
      <c r="Q16" t="e">
        <f>AND(Data!#REF!,"AAAAAGokvBA=")</f>
        <v>#REF!</v>
      </c>
      <c r="R16" t="e">
        <f>AND(Data!#REF!,"AAAAAGokvBE=")</f>
        <v>#REF!</v>
      </c>
      <c r="S16" t="e">
        <f>AND(Data!#REF!,"AAAAAGokvBI=")</f>
        <v>#REF!</v>
      </c>
      <c r="T16" t="e">
        <f>AND(Data!#REF!,"AAAAAGokvBM=")</f>
        <v>#REF!</v>
      </c>
      <c r="U16" t="e">
        <f>AND(Data!#REF!,"AAAAAGokvBQ=")</f>
        <v>#REF!</v>
      </c>
      <c r="V16" t="e">
        <f>AND(Data!#REF!,"AAAAAGokvBU=")</f>
        <v>#REF!</v>
      </c>
      <c r="W16" t="e">
        <f>AND(Data!#REF!,"AAAAAGokvBY=")</f>
        <v>#REF!</v>
      </c>
      <c r="X16" t="e">
        <f>AND(Data!#REF!,"AAAAAGokvBc=")</f>
        <v>#REF!</v>
      </c>
      <c r="Y16">
        <f>IF(Data!114:114,"AAAAAGokvBg=",0)</f>
        <v>0</v>
      </c>
      <c r="Z16" t="e">
        <f>AND(Data!A114,"AAAAAGokvBk=")</f>
        <v>#VALUE!</v>
      </c>
      <c r="AA16" t="e">
        <f>AND(Data!B114,"AAAAAGokvBo=")</f>
        <v>#VALUE!</v>
      </c>
      <c r="AB16" t="e">
        <f>AND(Data!C114,"AAAAAGokvBs=")</f>
        <v>#VALUE!</v>
      </c>
      <c r="AC16" t="e">
        <f>AND(Data!D114,"AAAAAGokvBw=")</f>
        <v>#VALUE!</v>
      </c>
      <c r="AD16" t="e">
        <f>AND(Data!E114,"AAAAAGokvB0=")</f>
        <v>#VALUE!</v>
      </c>
      <c r="AE16" t="e">
        <f>AND(Data!F114,"AAAAAGokvB4=")</f>
        <v>#VALUE!</v>
      </c>
      <c r="AF16" t="e">
        <f>AND(Data!G114,"AAAAAGokvB8=")</f>
        <v>#VALUE!</v>
      </c>
      <c r="AG16" t="e">
        <f>AND(Data!H114,"AAAAAGokvCA=")</f>
        <v>#VALUE!</v>
      </c>
      <c r="AH16" t="e">
        <f>AND(Data!I114,"AAAAAGokvCE=")</f>
        <v>#VALUE!</v>
      </c>
      <c r="AI16" t="e">
        <f>AND(Data!J114,"AAAAAGokvCI=")</f>
        <v>#VALUE!</v>
      </c>
      <c r="AJ16" t="e">
        <f>AND(Data!K114,"AAAAAGokvCM=")</f>
        <v>#VALUE!</v>
      </c>
      <c r="AK16" t="e">
        <f>AND(Data!L114,"AAAAAGokvCQ=")</f>
        <v>#VALUE!</v>
      </c>
      <c r="AL16" t="e">
        <f>AND(Data!M114,"AAAAAGokvCU=")</f>
        <v>#VALUE!</v>
      </c>
      <c r="AM16" t="e">
        <f>AND(Data!N114,"AAAAAGokvCY=")</f>
        <v>#VALUE!</v>
      </c>
      <c r="AN16" t="e">
        <f>AND(Data!O114,"AAAAAGokvCc=")</f>
        <v>#VALUE!</v>
      </c>
      <c r="AO16" t="e">
        <f>AND(Data!P114,"AAAAAGokvCg=")</f>
        <v>#VALUE!</v>
      </c>
      <c r="AP16" t="e">
        <f>AND(Data!Q114,"AAAAAGokvCk=")</f>
        <v>#VALUE!</v>
      </c>
      <c r="AQ16" t="e">
        <f>AND(Data!#REF!,"AAAAAGokvCo=")</f>
        <v>#REF!</v>
      </c>
      <c r="AR16" t="e">
        <f>AND(Data!#REF!,"AAAAAGokvCs=")</f>
        <v>#REF!</v>
      </c>
      <c r="AS16" t="e">
        <f>AND(Data!#REF!,"AAAAAGokvCw=")</f>
        <v>#REF!</v>
      </c>
      <c r="AT16" t="e">
        <f>AND(Data!#REF!,"AAAAAGokvC0=")</f>
        <v>#REF!</v>
      </c>
      <c r="AU16" t="e">
        <f>AND(Data!#REF!,"AAAAAGokvC4=")</f>
        <v>#REF!</v>
      </c>
      <c r="AV16" t="e">
        <f>AND(Data!#REF!,"AAAAAGokvC8=")</f>
        <v>#REF!</v>
      </c>
      <c r="AW16" t="e">
        <f>AND(Data!#REF!,"AAAAAGokvDA=")</f>
        <v>#REF!</v>
      </c>
      <c r="AX16" t="e">
        <f>AND(Data!#REF!,"AAAAAGokvDE=")</f>
        <v>#REF!</v>
      </c>
      <c r="AY16" t="e">
        <f>AND(Data!#REF!,"AAAAAGokvDI=")</f>
        <v>#REF!</v>
      </c>
      <c r="AZ16" t="e">
        <f>AND(Data!#REF!,"AAAAAGokvDM=")</f>
        <v>#REF!</v>
      </c>
      <c r="BA16">
        <f>IF(Data!115:115,"AAAAAGokvDQ=",0)</f>
        <v>0</v>
      </c>
      <c r="BB16" t="e">
        <f>AND(Data!A115,"AAAAAGokvDU=")</f>
        <v>#VALUE!</v>
      </c>
      <c r="BC16" t="e">
        <f>AND(Data!B115,"AAAAAGokvDY=")</f>
        <v>#VALUE!</v>
      </c>
      <c r="BD16" t="e">
        <f>AND(Data!C115,"AAAAAGokvDc=")</f>
        <v>#VALUE!</v>
      </c>
      <c r="BE16" t="e">
        <f>AND(Data!D115,"AAAAAGokvDg=")</f>
        <v>#VALUE!</v>
      </c>
      <c r="BF16" t="e">
        <f>AND(Data!E115,"AAAAAGokvDk=")</f>
        <v>#VALUE!</v>
      </c>
      <c r="BG16" t="e">
        <f>AND(Data!F115,"AAAAAGokvDo=")</f>
        <v>#VALUE!</v>
      </c>
      <c r="BH16" t="e">
        <f>AND(Data!G115,"AAAAAGokvDs=")</f>
        <v>#VALUE!</v>
      </c>
      <c r="BI16" t="e">
        <f>AND(Data!H115,"AAAAAGokvDw=")</f>
        <v>#VALUE!</v>
      </c>
      <c r="BJ16" t="e">
        <f>AND(Data!I115,"AAAAAGokvD0=")</f>
        <v>#VALUE!</v>
      </c>
      <c r="BK16" t="e">
        <f>AND(Data!J115,"AAAAAGokvD4=")</f>
        <v>#VALUE!</v>
      </c>
      <c r="BL16" t="e">
        <f>AND(Data!K115,"AAAAAGokvD8=")</f>
        <v>#VALUE!</v>
      </c>
      <c r="BM16" t="e">
        <f>AND(Data!L115,"AAAAAGokvEA=")</f>
        <v>#VALUE!</v>
      </c>
      <c r="BN16" t="e">
        <f>AND(Data!M115,"AAAAAGokvEE=")</f>
        <v>#VALUE!</v>
      </c>
      <c r="BO16" t="e">
        <f>AND(Data!N115,"AAAAAGokvEI=")</f>
        <v>#VALUE!</v>
      </c>
      <c r="BP16" t="e">
        <f>AND(Data!O115,"AAAAAGokvEM=")</f>
        <v>#VALUE!</v>
      </c>
      <c r="BQ16" t="e">
        <f>AND(Data!P115,"AAAAAGokvEQ=")</f>
        <v>#VALUE!</v>
      </c>
      <c r="BR16" t="e">
        <f>AND(Data!Q115,"AAAAAGokvEU=")</f>
        <v>#VALUE!</v>
      </c>
      <c r="BS16" t="e">
        <f>AND(Data!#REF!,"AAAAAGokvEY=")</f>
        <v>#REF!</v>
      </c>
      <c r="BT16" t="e">
        <f>AND(Data!#REF!,"AAAAAGokvEc=")</f>
        <v>#REF!</v>
      </c>
      <c r="BU16" t="e">
        <f>AND(Data!#REF!,"AAAAAGokvEg=")</f>
        <v>#REF!</v>
      </c>
      <c r="BV16" t="e">
        <f>AND(Data!#REF!,"AAAAAGokvEk=")</f>
        <v>#REF!</v>
      </c>
      <c r="BW16" t="e">
        <f>AND(Data!#REF!,"AAAAAGokvEo=")</f>
        <v>#REF!</v>
      </c>
      <c r="BX16" t="e">
        <f>AND(Data!#REF!,"AAAAAGokvEs=")</f>
        <v>#REF!</v>
      </c>
      <c r="BY16" t="e">
        <f>AND(Data!#REF!,"AAAAAGokvEw=")</f>
        <v>#REF!</v>
      </c>
      <c r="BZ16" t="e">
        <f>AND(Data!#REF!,"AAAAAGokvE0=")</f>
        <v>#REF!</v>
      </c>
      <c r="CA16" t="e">
        <f>AND(Data!#REF!,"AAAAAGokvE4=")</f>
        <v>#REF!</v>
      </c>
      <c r="CB16" t="e">
        <f>AND(Data!#REF!,"AAAAAGokvE8=")</f>
        <v>#REF!</v>
      </c>
      <c r="CC16">
        <f>IF(Data!116:116,"AAAAAGokvFA=",0)</f>
        <v>0</v>
      </c>
      <c r="CD16">
        <f>IF(Data!117:117,"AAAAAGokvFE=",0)</f>
        <v>0</v>
      </c>
      <c r="CE16">
        <f>IF(Data!118:118,"AAAAAGokvFI=",0)</f>
        <v>0</v>
      </c>
      <c r="CF16">
        <f>IF(Data!119:119,"AAAAAGokvFM=",0)</f>
        <v>0</v>
      </c>
      <c r="CG16">
        <f>IF(Data!120:120,"AAAAAGokvFQ=",0)</f>
        <v>0</v>
      </c>
      <c r="CH16">
        <f>IF(Data!121:121,"AAAAAGokvFU=",0)</f>
        <v>0</v>
      </c>
      <c r="CI16">
        <f>IF(Data!122:122,"AAAAAGokvFY=",0)</f>
        <v>0</v>
      </c>
      <c r="CJ16">
        <f>IF(Data!123:123,"AAAAAGokvFc=",0)</f>
        <v>0</v>
      </c>
      <c r="CK16">
        <f>IF(Data!124:124,"AAAAAGokvFg=",0)</f>
        <v>0</v>
      </c>
      <c r="CL16">
        <f>IF(Data!125:125,"AAAAAGokvFk=",0)</f>
        <v>0</v>
      </c>
      <c r="CM16">
        <f>IF(Data!126:126,"AAAAAGokvFo=",0)</f>
        <v>0</v>
      </c>
      <c r="CN16">
        <f>IF(Data!127:127,"AAAAAGokvFs=",0)</f>
        <v>0</v>
      </c>
      <c r="CO16">
        <f>IF(Data!128:128,"AAAAAGokvFw=",0)</f>
        <v>0</v>
      </c>
      <c r="CP16">
        <f>IF(Data!129:129,"AAAAAGokvF0=",0)</f>
        <v>0</v>
      </c>
      <c r="CQ16">
        <f>IF(Data!130:130,"AAAAAGokvF4=",0)</f>
        <v>0</v>
      </c>
      <c r="CR16">
        <f>IF(Data!131:131,"AAAAAGokvF8=",0)</f>
        <v>0</v>
      </c>
      <c r="CS16" t="str">
        <f>IF(Data!A:A,"AAAAAGokvGA=",0)</f>
        <v>AAAAAGokvGA=</v>
      </c>
      <c r="CT16" t="e">
        <f>IF(Data!B:B,"AAAAAGokvGE=",0)</f>
        <v>#VALUE!</v>
      </c>
      <c r="CU16">
        <f>IF(Data!C:C,"AAAAAGokvGI=",0)</f>
        <v>0</v>
      </c>
      <c r="CV16">
        <f>IF(Data!D:D,"AAAAAGokvGM=",0)</f>
        <v>0</v>
      </c>
      <c r="CW16">
        <f>IF(Data!E:E,"AAAAAGokvGQ=",0)</f>
        <v>0</v>
      </c>
      <c r="CX16">
        <f>IF(Data!F:F,"AAAAAGokvGU=",0)</f>
        <v>0</v>
      </c>
      <c r="CY16">
        <f>IF(Data!G:G,"AAAAAGokvGY=",0)</f>
        <v>0</v>
      </c>
      <c r="CZ16">
        <f>IF(Data!H:H,"AAAAAGokvGc=",0)</f>
        <v>0</v>
      </c>
      <c r="DA16" t="str">
        <f>IF(Data!I:I,"AAAAAGokvGg=",0)</f>
        <v>AAAAAGokvGg=</v>
      </c>
      <c r="DB16" t="str">
        <f>IF(Data!J:J,"AAAAAGokvGk=",0)</f>
        <v>AAAAAGokvGk=</v>
      </c>
      <c r="DC16">
        <f>IF(Data!K:K,"AAAAAGokvGo=",0)</f>
        <v>0</v>
      </c>
      <c r="DD16" t="str">
        <f>IF(Data!L:L,"AAAAAGokvGs=",0)</f>
        <v>AAAAAGokvGs=</v>
      </c>
      <c r="DE16" t="str">
        <f>IF(Data!M:M,"AAAAAGokvGw=",0)</f>
        <v>AAAAAGokvGw=</v>
      </c>
      <c r="DF16" t="str">
        <f>IF(Data!N:N,"AAAAAGokvG0=",0)</f>
        <v>AAAAAGokvG0=</v>
      </c>
      <c r="DG16" t="str">
        <f>IF(Data!O:O,"AAAAAGokvG4=",0)</f>
        <v>AAAAAGokvG4=</v>
      </c>
      <c r="DH16" t="str">
        <f>IF(Data!P:P,"AAAAAGokvG8=",0)</f>
        <v>AAAAAGokvG8=</v>
      </c>
      <c r="DI16" t="e">
        <f>IF(Data!Q:Q,"AAAAAGokvHA=",0)</f>
        <v>#VALUE!</v>
      </c>
      <c r="DJ16" t="e">
        <f>IF(Data!#REF!,"AAAAAGokvHE=",0)</f>
        <v>#REF!</v>
      </c>
      <c r="DK16" t="e">
        <f>IF(Data!#REF!,"AAAAAGokvHI=",0)</f>
        <v>#REF!</v>
      </c>
      <c r="DL16" t="e">
        <f>IF(Data!#REF!,"AAAAAGokvHM=",0)</f>
        <v>#REF!</v>
      </c>
      <c r="DM16" t="e">
        <f>IF(Data!#REF!,"AAAAAGokvHQ=",0)</f>
        <v>#REF!</v>
      </c>
      <c r="DN16" t="e">
        <f>IF(Data!#REF!,"AAAAAGokvHU=",0)</f>
        <v>#REF!</v>
      </c>
      <c r="DO16" t="e">
        <f>IF(Data!#REF!,"AAAAAGokvHY=",0)</f>
        <v>#REF!</v>
      </c>
      <c r="DP16" t="e">
        <f>IF(Data!#REF!,"AAAAAGokvHc=",0)</f>
        <v>#REF!</v>
      </c>
      <c r="DQ16" t="e">
        <f>IF(Data!#REF!,"AAAAAGokvHg=",0)</f>
        <v>#REF!</v>
      </c>
      <c r="DR16" t="e">
        <f>IF(Data!#REF!,"AAAAAGokvHk=",0)</f>
        <v>#REF!</v>
      </c>
      <c r="DS16" t="e">
        <f>IF(Data!#REF!,"AAAAAGokvHo=",0)</f>
        <v>#REF!</v>
      </c>
      <c r="DT16">
        <f>IF('Species Data'!1:1,"AAAAAGokvHs=",0)</f>
        <v>0</v>
      </c>
      <c r="DU16" t="e">
        <f>AND('Species Data'!A1,"AAAAAGokvHw=")</f>
        <v>#VALUE!</v>
      </c>
      <c r="DV16" t="e">
        <f>AND('Species Data'!B1,"AAAAAGokvH0=")</f>
        <v>#VALUE!</v>
      </c>
      <c r="DW16" t="e">
        <f>AND('Species Data'!C1,"AAAAAGokvH4=")</f>
        <v>#VALUE!</v>
      </c>
      <c r="DX16" t="e">
        <f>AND('Species Data'!D1,"AAAAAGokvH8=")</f>
        <v>#VALUE!</v>
      </c>
      <c r="DY16" t="e">
        <f>AND('Species Data'!E1,"AAAAAGokvIA=")</f>
        <v>#VALUE!</v>
      </c>
      <c r="DZ16" t="e">
        <f>AND('Species Data'!F1,"AAAAAGokvIE=")</f>
        <v>#VALUE!</v>
      </c>
      <c r="EA16" t="e">
        <f>AND('Species Data'!G1,"AAAAAGokvII=")</f>
        <v>#VALUE!</v>
      </c>
      <c r="EB16" t="e">
        <f>AND('Species Data'!H1,"AAAAAGokvIM=")</f>
        <v>#VALUE!</v>
      </c>
      <c r="EC16" t="e">
        <f>AND('Species Data'!I1,"AAAAAGokvIQ=")</f>
        <v>#VALUE!</v>
      </c>
      <c r="ED16" t="e">
        <f>AND('Species Data'!J1,"AAAAAGokvIU=")</f>
        <v>#VALUE!</v>
      </c>
      <c r="EE16" t="e">
        <f>AND('Species Data'!K1,"AAAAAGokvIY=")</f>
        <v>#VALUE!</v>
      </c>
      <c r="EF16" t="e">
        <f>AND('Species Data'!L1,"AAAAAGokvIc=")</f>
        <v>#VALUE!</v>
      </c>
      <c r="EG16" t="e">
        <f>AND('Species Data'!M1,"AAAAAGokvIg=")</f>
        <v>#VALUE!</v>
      </c>
      <c r="EH16" t="e">
        <f>AND('Species Data'!N1,"AAAAAGokvIk=")</f>
        <v>#VALUE!</v>
      </c>
      <c r="EI16" t="e">
        <f>AND('Species Data'!O1,"AAAAAGokvIo=")</f>
        <v>#VALUE!</v>
      </c>
      <c r="EJ16">
        <f>IF('Species Data'!2:2,"AAAAAGokvIs=",0)</f>
        <v>0</v>
      </c>
      <c r="EK16" t="e">
        <f>AND('Species Data'!A2,"AAAAAGokvIw=")</f>
        <v>#VALUE!</v>
      </c>
      <c r="EL16" t="e">
        <f>AND('Species Data'!B2,"AAAAAGokvI0=")</f>
        <v>#VALUE!</v>
      </c>
      <c r="EM16" t="e">
        <f>AND('Species Data'!C2,"AAAAAGokvI4=")</f>
        <v>#VALUE!</v>
      </c>
      <c r="EN16" t="e">
        <f>AND('Species Data'!D2,"AAAAAGokvI8=")</f>
        <v>#VALUE!</v>
      </c>
      <c r="EO16" t="e">
        <f>AND('Species Data'!E2,"AAAAAGokvJA=")</f>
        <v>#VALUE!</v>
      </c>
      <c r="EP16" t="e">
        <f>AND('Species Data'!F2,"AAAAAGokvJE=")</f>
        <v>#VALUE!</v>
      </c>
      <c r="EQ16" t="e">
        <f>AND('Species Data'!G2,"AAAAAGokvJI=")</f>
        <v>#VALUE!</v>
      </c>
      <c r="ER16" t="e">
        <f>AND('Species Data'!H2,"AAAAAGokvJM=")</f>
        <v>#VALUE!</v>
      </c>
      <c r="ES16" t="e">
        <f>AND('Species Data'!I2,"AAAAAGokvJQ=")</f>
        <v>#VALUE!</v>
      </c>
      <c r="ET16" t="e">
        <f>AND('Species Data'!J2,"AAAAAGokvJU=")</f>
        <v>#VALUE!</v>
      </c>
      <c r="EU16" t="e">
        <f>AND('Species Data'!K2,"AAAAAGokvJY=")</f>
        <v>#VALUE!</v>
      </c>
      <c r="EV16" t="e">
        <f>AND('Species Data'!L2,"AAAAAGokvJc=")</f>
        <v>#VALUE!</v>
      </c>
      <c r="EW16" t="e">
        <f>AND('Species Data'!M2,"AAAAAGokvJg=")</f>
        <v>#VALUE!</v>
      </c>
      <c r="EX16" t="e">
        <f>AND('Species Data'!N2,"AAAAAGokvJk=")</f>
        <v>#VALUE!</v>
      </c>
      <c r="EY16" t="e">
        <f>AND('Species Data'!O2,"AAAAAGokvJo=")</f>
        <v>#VALUE!</v>
      </c>
      <c r="EZ16">
        <f>IF('Species Data'!3:3,"AAAAAGokvJs=",0)</f>
        <v>0</v>
      </c>
      <c r="FA16" t="e">
        <f>AND('Species Data'!A3,"AAAAAGokvJw=")</f>
        <v>#VALUE!</v>
      </c>
      <c r="FB16" t="e">
        <f>AND('Species Data'!B3,"AAAAAGokvJ0=")</f>
        <v>#VALUE!</v>
      </c>
      <c r="FC16" t="e">
        <f>AND('Species Data'!C3,"AAAAAGokvJ4=")</f>
        <v>#VALUE!</v>
      </c>
      <c r="FD16" t="e">
        <f>AND('Species Data'!D3,"AAAAAGokvJ8=")</f>
        <v>#VALUE!</v>
      </c>
      <c r="FE16" t="e">
        <f>AND('Species Data'!E3,"AAAAAGokvKA=")</f>
        <v>#VALUE!</v>
      </c>
      <c r="FF16" t="e">
        <f>AND('Species Data'!F3,"AAAAAGokvKE=")</f>
        <v>#VALUE!</v>
      </c>
      <c r="FG16" t="e">
        <f>AND('Species Data'!G3,"AAAAAGokvKI=")</f>
        <v>#VALUE!</v>
      </c>
      <c r="FH16" t="e">
        <f>AND('Species Data'!H3,"AAAAAGokvKM=")</f>
        <v>#VALUE!</v>
      </c>
      <c r="FI16" t="e">
        <f>AND('Species Data'!I3,"AAAAAGokvKQ=")</f>
        <v>#VALUE!</v>
      </c>
      <c r="FJ16" t="e">
        <f>AND('Species Data'!J3,"AAAAAGokvKU=")</f>
        <v>#VALUE!</v>
      </c>
      <c r="FK16" t="e">
        <f>AND('Species Data'!K3,"AAAAAGokvKY=")</f>
        <v>#VALUE!</v>
      </c>
      <c r="FL16" t="e">
        <f>AND('Species Data'!L3,"AAAAAGokvKc=")</f>
        <v>#VALUE!</v>
      </c>
      <c r="FM16" t="e">
        <f>AND('Species Data'!M3,"AAAAAGokvKg=")</f>
        <v>#VALUE!</v>
      </c>
      <c r="FN16" t="e">
        <f>AND('Species Data'!N3,"AAAAAGokvKk=")</f>
        <v>#VALUE!</v>
      </c>
      <c r="FO16" t="e">
        <f>AND('Species Data'!O3,"AAAAAGokvKo=")</f>
        <v>#VALUE!</v>
      </c>
      <c r="FP16">
        <f>IF('Species Data'!4:4,"AAAAAGokvKs=",0)</f>
        <v>0</v>
      </c>
      <c r="FQ16" t="e">
        <f>AND('Species Data'!A4,"AAAAAGokvKw=")</f>
        <v>#VALUE!</v>
      </c>
      <c r="FR16" t="e">
        <f>AND('Species Data'!B4,"AAAAAGokvK0=")</f>
        <v>#VALUE!</v>
      </c>
      <c r="FS16" t="e">
        <f>AND('Species Data'!C4,"AAAAAGokvK4=")</f>
        <v>#VALUE!</v>
      </c>
      <c r="FT16" t="e">
        <f>AND('Species Data'!D4,"AAAAAGokvK8=")</f>
        <v>#VALUE!</v>
      </c>
      <c r="FU16" t="e">
        <f>AND('Species Data'!E4,"AAAAAGokvLA=")</f>
        <v>#VALUE!</v>
      </c>
      <c r="FV16" t="e">
        <f>AND('Species Data'!F4,"AAAAAGokvLE=")</f>
        <v>#VALUE!</v>
      </c>
      <c r="FW16" t="e">
        <f>AND('Species Data'!G4,"AAAAAGokvLI=")</f>
        <v>#VALUE!</v>
      </c>
      <c r="FX16" t="e">
        <f>AND('Species Data'!H4,"AAAAAGokvLM=")</f>
        <v>#VALUE!</v>
      </c>
      <c r="FY16" t="e">
        <f>AND('Species Data'!I4,"AAAAAGokvLQ=")</f>
        <v>#VALUE!</v>
      </c>
      <c r="FZ16" t="e">
        <f>AND('Species Data'!J4,"AAAAAGokvLU=")</f>
        <v>#VALUE!</v>
      </c>
      <c r="GA16" t="e">
        <f>AND('Species Data'!K4,"AAAAAGokvLY=")</f>
        <v>#VALUE!</v>
      </c>
      <c r="GB16" t="e">
        <f>AND('Species Data'!L4,"AAAAAGokvLc=")</f>
        <v>#VALUE!</v>
      </c>
      <c r="GC16" t="e">
        <f>AND('Species Data'!M4,"AAAAAGokvLg=")</f>
        <v>#VALUE!</v>
      </c>
      <c r="GD16" t="e">
        <f>AND('Species Data'!N4,"AAAAAGokvLk=")</f>
        <v>#VALUE!</v>
      </c>
      <c r="GE16" t="e">
        <f>AND('Species Data'!O4,"AAAAAGokvLo=")</f>
        <v>#VALUE!</v>
      </c>
      <c r="GF16">
        <f>IF('Species Data'!5:5,"AAAAAGokvLs=",0)</f>
        <v>0</v>
      </c>
      <c r="GG16" t="e">
        <f>AND('Species Data'!A5,"AAAAAGokvLw=")</f>
        <v>#VALUE!</v>
      </c>
      <c r="GH16" t="e">
        <f>AND('Species Data'!B5,"AAAAAGokvL0=")</f>
        <v>#VALUE!</v>
      </c>
      <c r="GI16" t="e">
        <f>AND('Species Data'!C5,"AAAAAGokvL4=")</f>
        <v>#VALUE!</v>
      </c>
      <c r="GJ16" t="e">
        <f>AND('Species Data'!D5,"AAAAAGokvL8=")</f>
        <v>#VALUE!</v>
      </c>
      <c r="GK16" t="e">
        <f>AND('Species Data'!E5,"AAAAAGokvMA=")</f>
        <v>#VALUE!</v>
      </c>
      <c r="GL16" t="e">
        <f>AND('Species Data'!F5,"AAAAAGokvME=")</f>
        <v>#VALUE!</v>
      </c>
      <c r="GM16" t="e">
        <f>AND('Species Data'!G5,"AAAAAGokvMI=")</f>
        <v>#VALUE!</v>
      </c>
      <c r="GN16" t="e">
        <f>AND('Species Data'!H5,"AAAAAGokvMM=")</f>
        <v>#VALUE!</v>
      </c>
      <c r="GO16" t="e">
        <f>AND('Species Data'!I5,"AAAAAGokvMQ=")</f>
        <v>#VALUE!</v>
      </c>
      <c r="GP16" t="e">
        <f>AND('Species Data'!J5,"AAAAAGokvMU=")</f>
        <v>#VALUE!</v>
      </c>
      <c r="GQ16" t="e">
        <f>AND('Species Data'!K5,"AAAAAGokvMY=")</f>
        <v>#VALUE!</v>
      </c>
      <c r="GR16" t="e">
        <f>AND('Species Data'!L5,"AAAAAGokvMc=")</f>
        <v>#VALUE!</v>
      </c>
      <c r="GS16" t="e">
        <f>AND('Species Data'!M5,"AAAAAGokvMg=")</f>
        <v>#VALUE!</v>
      </c>
      <c r="GT16" t="e">
        <f>AND('Species Data'!N5,"AAAAAGokvMk=")</f>
        <v>#VALUE!</v>
      </c>
      <c r="GU16" t="e">
        <f>AND('Species Data'!O5,"AAAAAGokvMo=")</f>
        <v>#VALUE!</v>
      </c>
      <c r="GV16">
        <f>IF('Species Data'!6:6,"AAAAAGokvMs=",0)</f>
        <v>0</v>
      </c>
      <c r="GW16" t="e">
        <f>AND('Species Data'!A6,"AAAAAGokvMw=")</f>
        <v>#VALUE!</v>
      </c>
      <c r="GX16" t="e">
        <f>AND('Species Data'!B6,"AAAAAGokvM0=")</f>
        <v>#VALUE!</v>
      </c>
      <c r="GY16" t="e">
        <f>AND('Species Data'!C6,"AAAAAGokvM4=")</f>
        <v>#VALUE!</v>
      </c>
      <c r="GZ16" t="e">
        <f>AND('Species Data'!D6,"AAAAAGokvM8=")</f>
        <v>#VALUE!</v>
      </c>
      <c r="HA16" t="e">
        <f>AND('Species Data'!E6,"AAAAAGokvNA=")</f>
        <v>#VALUE!</v>
      </c>
      <c r="HB16" t="e">
        <f>AND('Species Data'!F6,"AAAAAGokvNE=")</f>
        <v>#VALUE!</v>
      </c>
      <c r="HC16" t="e">
        <f>AND('Species Data'!G6,"AAAAAGokvNI=")</f>
        <v>#VALUE!</v>
      </c>
      <c r="HD16" t="e">
        <f>AND('Species Data'!H6,"AAAAAGokvNM=")</f>
        <v>#VALUE!</v>
      </c>
      <c r="HE16" t="e">
        <f>AND('Species Data'!I6,"AAAAAGokvNQ=")</f>
        <v>#VALUE!</v>
      </c>
      <c r="HF16" t="e">
        <f>AND('Species Data'!J6,"AAAAAGokvNU=")</f>
        <v>#VALUE!</v>
      </c>
      <c r="HG16" t="e">
        <f>AND('Species Data'!K6,"AAAAAGokvNY=")</f>
        <v>#VALUE!</v>
      </c>
      <c r="HH16" t="e">
        <f>AND('Species Data'!L6,"AAAAAGokvNc=")</f>
        <v>#VALUE!</v>
      </c>
      <c r="HI16" t="e">
        <f>AND('Species Data'!M6,"AAAAAGokvNg=")</f>
        <v>#VALUE!</v>
      </c>
      <c r="HJ16" t="e">
        <f>AND('Species Data'!N6,"AAAAAGokvNk=")</f>
        <v>#VALUE!</v>
      </c>
      <c r="HK16" t="e">
        <f>AND('Species Data'!O6,"AAAAAGokvNo=")</f>
        <v>#VALUE!</v>
      </c>
      <c r="HL16">
        <f>IF('Species Data'!7:7,"AAAAAGokvNs=",0)</f>
        <v>0</v>
      </c>
      <c r="HM16" t="e">
        <f>AND('Species Data'!A7,"AAAAAGokvNw=")</f>
        <v>#VALUE!</v>
      </c>
      <c r="HN16" t="e">
        <f>AND('Species Data'!B7,"AAAAAGokvN0=")</f>
        <v>#VALUE!</v>
      </c>
      <c r="HO16" t="e">
        <f>AND('Species Data'!C7,"AAAAAGokvN4=")</f>
        <v>#VALUE!</v>
      </c>
      <c r="HP16" t="e">
        <f>AND('Species Data'!D7,"AAAAAGokvN8=")</f>
        <v>#VALUE!</v>
      </c>
      <c r="HQ16" t="e">
        <f>AND('Species Data'!E7,"AAAAAGokvOA=")</f>
        <v>#VALUE!</v>
      </c>
      <c r="HR16" t="e">
        <f>AND('Species Data'!F7,"AAAAAGokvOE=")</f>
        <v>#VALUE!</v>
      </c>
      <c r="HS16" t="e">
        <f>AND('Species Data'!G7,"AAAAAGokvOI=")</f>
        <v>#VALUE!</v>
      </c>
      <c r="HT16" t="e">
        <f>AND('Species Data'!H7,"AAAAAGokvOM=")</f>
        <v>#VALUE!</v>
      </c>
      <c r="HU16" t="e">
        <f>AND('Species Data'!I7,"AAAAAGokvOQ=")</f>
        <v>#VALUE!</v>
      </c>
      <c r="HV16" t="e">
        <f>AND('Species Data'!J7,"AAAAAGokvOU=")</f>
        <v>#VALUE!</v>
      </c>
      <c r="HW16" t="e">
        <f>AND('Species Data'!K7,"AAAAAGokvOY=")</f>
        <v>#VALUE!</v>
      </c>
      <c r="HX16" t="e">
        <f>AND('Species Data'!L7,"AAAAAGokvOc=")</f>
        <v>#VALUE!</v>
      </c>
      <c r="HY16" t="e">
        <f>AND('Species Data'!M7,"AAAAAGokvOg=")</f>
        <v>#VALUE!</v>
      </c>
      <c r="HZ16" t="e">
        <f>AND('Species Data'!N7,"AAAAAGokvOk=")</f>
        <v>#VALUE!</v>
      </c>
      <c r="IA16" t="e">
        <f>AND('Species Data'!O7,"AAAAAGokvOo=")</f>
        <v>#VALUE!</v>
      </c>
      <c r="IB16">
        <f>IF('Species Data'!8:8,"AAAAAGokvOs=",0)</f>
        <v>0</v>
      </c>
      <c r="IC16" t="e">
        <f>AND('Species Data'!A8,"AAAAAGokvOw=")</f>
        <v>#VALUE!</v>
      </c>
      <c r="ID16" t="e">
        <f>AND('Species Data'!B8,"AAAAAGokvO0=")</f>
        <v>#VALUE!</v>
      </c>
      <c r="IE16" t="e">
        <f>AND('Species Data'!C8,"AAAAAGokvO4=")</f>
        <v>#VALUE!</v>
      </c>
      <c r="IF16" t="e">
        <f>AND('Species Data'!D8,"AAAAAGokvO8=")</f>
        <v>#VALUE!</v>
      </c>
      <c r="IG16" t="e">
        <f>AND('Species Data'!E8,"AAAAAGokvPA=")</f>
        <v>#VALUE!</v>
      </c>
      <c r="IH16" t="e">
        <f>AND('Species Data'!F8,"AAAAAGokvPE=")</f>
        <v>#VALUE!</v>
      </c>
      <c r="II16" t="e">
        <f>AND('Species Data'!G8,"AAAAAGokvPI=")</f>
        <v>#VALUE!</v>
      </c>
      <c r="IJ16" t="e">
        <f>AND('Species Data'!H8,"AAAAAGokvPM=")</f>
        <v>#VALUE!</v>
      </c>
      <c r="IK16" t="e">
        <f>AND('Species Data'!I8,"AAAAAGokvPQ=")</f>
        <v>#VALUE!</v>
      </c>
      <c r="IL16" t="e">
        <f>AND('Species Data'!J8,"AAAAAGokvPU=")</f>
        <v>#VALUE!</v>
      </c>
      <c r="IM16" t="e">
        <f>AND('Species Data'!K8,"AAAAAGokvPY=")</f>
        <v>#VALUE!</v>
      </c>
      <c r="IN16" t="e">
        <f>AND('Species Data'!L8,"AAAAAGokvPc=")</f>
        <v>#VALUE!</v>
      </c>
      <c r="IO16" t="e">
        <f>AND('Species Data'!M8,"AAAAAGokvPg=")</f>
        <v>#VALUE!</v>
      </c>
      <c r="IP16" t="e">
        <f>AND('Species Data'!N8,"AAAAAGokvPk=")</f>
        <v>#VALUE!</v>
      </c>
      <c r="IQ16" t="e">
        <f>AND('Species Data'!O8,"AAAAAGokvPo=")</f>
        <v>#VALUE!</v>
      </c>
      <c r="IR16">
        <f>IF('Species Data'!9:9,"AAAAAGokvPs=",0)</f>
        <v>0</v>
      </c>
      <c r="IS16" t="e">
        <f>AND('Species Data'!A9,"AAAAAGokvPw=")</f>
        <v>#VALUE!</v>
      </c>
      <c r="IT16" t="e">
        <f>AND('Species Data'!B9,"AAAAAGokvP0=")</f>
        <v>#VALUE!</v>
      </c>
      <c r="IU16" t="e">
        <f>AND('Species Data'!C9,"AAAAAGokvP4=")</f>
        <v>#VALUE!</v>
      </c>
      <c r="IV16" t="e">
        <f>AND('Species Data'!D9,"AAAAAGokvP8=")</f>
        <v>#VALUE!</v>
      </c>
    </row>
    <row r="17" spans="1:256">
      <c r="A17" t="e">
        <f>AND('Species Data'!E9,"AAAAAH/cdAA=")</f>
        <v>#VALUE!</v>
      </c>
      <c r="B17" t="e">
        <f>AND('Species Data'!F9,"AAAAAH/cdAE=")</f>
        <v>#VALUE!</v>
      </c>
      <c r="C17" t="e">
        <f>AND('Species Data'!G9,"AAAAAH/cdAI=")</f>
        <v>#VALUE!</v>
      </c>
      <c r="D17" t="e">
        <f>AND('Species Data'!H9,"AAAAAH/cdAM=")</f>
        <v>#VALUE!</v>
      </c>
      <c r="E17" t="e">
        <f>AND('Species Data'!I9,"AAAAAH/cdAQ=")</f>
        <v>#VALUE!</v>
      </c>
      <c r="F17" t="e">
        <f>AND('Species Data'!J9,"AAAAAH/cdAU=")</f>
        <v>#VALUE!</v>
      </c>
      <c r="G17" t="e">
        <f>AND('Species Data'!K9,"AAAAAH/cdAY=")</f>
        <v>#VALUE!</v>
      </c>
      <c r="H17" t="e">
        <f>AND('Species Data'!L9,"AAAAAH/cdAc=")</f>
        <v>#VALUE!</v>
      </c>
      <c r="I17" t="e">
        <f>AND('Species Data'!M9,"AAAAAH/cdAg=")</f>
        <v>#VALUE!</v>
      </c>
      <c r="J17" t="e">
        <f>AND('Species Data'!N9,"AAAAAH/cdAk=")</f>
        <v>#VALUE!</v>
      </c>
      <c r="K17" t="e">
        <f>AND('Species Data'!O9,"AAAAAH/cdAo=")</f>
        <v>#VALUE!</v>
      </c>
      <c r="L17" t="str">
        <f>IF('Species Data'!10:10,"AAAAAH/cdAs=",0)</f>
        <v>AAAAAH/cdAs=</v>
      </c>
      <c r="M17" t="e">
        <f>AND('Species Data'!A10,"AAAAAH/cdAw=")</f>
        <v>#VALUE!</v>
      </c>
      <c r="N17" t="e">
        <f>AND('Species Data'!B10,"AAAAAH/cdA0=")</f>
        <v>#VALUE!</v>
      </c>
      <c r="O17" t="e">
        <f>AND('Species Data'!C10,"AAAAAH/cdA4=")</f>
        <v>#VALUE!</v>
      </c>
      <c r="P17" t="e">
        <f>AND('Species Data'!D10,"AAAAAH/cdA8=")</f>
        <v>#VALUE!</v>
      </c>
      <c r="Q17" t="e">
        <f>AND('Species Data'!E10,"AAAAAH/cdBA=")</f>
        <v>#VALUE!</v>
      </c>
      <c r="R17" t="e">
        <f>AND('Species Data'!F10,"AAAAAH/cdBE=")</f>
        <v>#VALUE!</v>
      </c>
      <c r="S17" t="e">
        <f>AND('Species Data'!G10,"AAAAAH/cdBI=")</f>
        <v>#VALUE!</v>
      </c>
      <c r="T17" t="e">
        <f>AND('Species Data'!H10,"AAAAAH/cdBM=")</f>
        <v>#VALUE!</v>
      </c>
      <c r="U17" t="e">
        <f>AND('Species Data'!I10,"AAAAAH/cdBQ=")</f>
        <v>#VALUE!</v>
      </c>
      <c r="V17" t="e">
        <f>AND('Species Data'!J10,"AAAAAH/cdBU=")</f>
        <v>#VALUE!</v>
      </c>
      <c r="W17" t="e">
        <f>AND('Species Data'!K10,"AAAAAH/cdBY=")</f>
        <v>#VALUE!</v>
      </c>
      <c r="X17" t="e">
        <f>AND('Species Data'!L10,"AAAAAH/cdBc=")</f>
        <v>#VALUE!</v>
      </c>
      <c r="Y17" t="e">
        <f>AND('Species Data'!M10,"AAAAAH/cdBg=")</f>
        <v>#VALUE!</v>
      </c>
      <c r="Z17" t="e">
        <f>AND('Species Data'!N10,"AAAAAH/cdBk=")</f>
        <v>#VALUE!</v>
      </c>
      <c r="AA17" t="e">
        <f>AND('Species Data'!O10,"AAAAAH/cdBo=")</f>
        <v>#VALUE!</v>
      </c>
      <c r="AB17">
        <f>IF('Species Data'!11:11,"AAAAAH/cdBs=",0)</f>
        <v>0</v>
      </c>
      <c r="AC17" t="e">
        <f>AND('Species Data'!A11,"AAAAAH/cdBw=")</f>
        <v>#VALUE!</v>
      </c>
      <c r="AD17" t="e">
        <f>AND('Species Data'!B11,"AAAAAH/cdB0=")</f>
        <v>#VALUE!</v>
      </c>
      <c r="AE17" t="e">
        <f>AND('Species Data'!C11,"AAAAAH/cdB4=")</f>
        <v>#VALUE!</v>
      </c>
      <c r="AF17" t="e">
        <f>AND('Species Data'!D11,"AAAAAH/cdB8=")</f>
        <v>#VALUE!</v>
      </c>
      <c r="AG17" t="e">
        <f>AND('Species Data'!E11,"AAAAAH/cdCA=")</f>
        <v>#VALUE!</v>
      </c>
      <c r="AH17" t="e">
        <f>AND('Species Data'!F11,"AAAAAH/cdCE=")</f>
        <v>#VALUE!</v>
      </c>
      <c r="AI17" t="e">
        <f>AND('Species Data'!G11,"AAAAAH/cdCI=")</f>
        <v>#VALUE!</v>
      </c>
      <c r="AJ17" t="e">
        <f>AND('Species Data'!H11,"AAAAAH/cdCM=")</f>
        <v>#VALUE!</v>
      </c>
      <c r="AK17" t="e">
        <f>AND('Species Data'!I11,"AAAAAH/cdCQ=")</f>
        <v>#VALUE!</v>
      </c>
      <c r="AL17" t="e">
        <f>AND('Species Data'!J11,"AAAAAH/cdCU=")</f>
        <v>#VALUE!</v>
      </c>
      <c r="AM17" t="e">
        <f>AND('Species Data'!K11,"AAAAAH/cdCY=")</f>
        <v>#VALUE!</v>
      </c>
      <c r="AN17" t="e">
        <f>AND('Species Data'!L11,"AAAAAH/cdCc=")</f>
        <v>#VALUE!</v>
      </c>
      <c r="AO17" t="e">
        <f>AND('Species Data'!M11,"AAAAAH/cdCg=")</f>
        <v>#VALUE!</v>
      </c>
      <c r="AP17" t="e">
        <f>AND('Species Data'!N11,"AAAAAH/cdCk=")</f>
        <v>#VALUE!</v>
      </c>
      <c r="AQ17" t="e">
        <f>AND('Species Data'!O11,"AAAAAH/cdCo=")</f>
        <v>#VALUE!</v>
      </c>
      <c r="AR17">
        <f>IF('Species Data'!12:12,"AAAAAH/cdCs=",0)</f>
        <v>0</v>
      </c>
      <c r="AS17" t="e">
        <f>AND('Species Data'!A12,"AAAAAH/cdCw=")</f>
        <v>#VALUE!</v>
      </c>
      <c r="AT17" t="e">
        <f>AND('Species Data'!B12,"AAAAAH/cdC0=")</f>
        <v>#VALUE!</v>
      </c>
      <c r="AU17" t="e">
        <f>AND('Species Data'!C12,"AAAAAH/cdC4=")</f>
        <v>#VALUE!</v>
      </c>
      <c r="AV17" t="e">
        <f>AND('Species Data'!D12,"AAAAAH/cdC8=")</f>
        <v>#VALUE!</v>
      </c>
      <c r="AW17" t="e">
        <f>AND('Species Data'!E12,"AAAAAH/cdDA=")</f>
        <v>#VALUE!</v>
      </c>
      <c r="AX17" t="e">
        <f>AND('Species Data'!F12,"AAAAAH/cdDE=")</f>
        <v>#VALUE!</v>
      </c>
      <c r="AY17" t="e">
        <f>AND('Species Data'!G12,"AAAAAH/cdDI=")</f>
        <v>#VALUE!</v>
      </c>
      <c r="AZ17" t="e">
        <f>AND('Species Data'!H12,"AAAAAH/cdDM=")</f>
        <v>#VALUE!</v>
      </c>
      <c r="BA17" t="e">
        <f>AND('Species Data'!I12,"AAAAAH/cdDQ=")</f>
        <v>#VALUE!</v>
      </c>
      <c r="BB17" t="e">
        <f>AND('Species Data'!J12,"AAAAAH/cdDU=")</f>
        <v>#VALUE!</v>
      </c>
      <c r="BC17" t="e">
        <f>AND('Species Data'!K12,"AAAAAH/cdDY=")</f>
        <v>#VALUE!</v>
      </c>
      <c r="BD17" t="e">
        <f>AND('Species Data'!L12,"AAAAAH/cdDc=")</f>
        <v>#VALUE!</v>
      </c>
      <c r="BE17" t="e">
        <f>AND('Species Data'!M12,"AAAAAH/cdDg=")</f>
        <v>#VALUE!</v>
      </c>
      <c r="BF17" t="e">
        <f>AND('Species Data'!N12,"AAAAAH/cdDk=")</f>
        <v>#VALUE!</v>
      </c>
      <c r="BG17" t="e">
        <f>AND('Species Data'!O12,"AAAAAH/cdDo=")</f>
        <v>#VALUE!</v>
      </c>
      <c r="BH17">
        <f>IF('Species Data'!13:13,"AAAAAH/cdDs=",0)</f>
        <v>0</v>
      </c>
      <c r="BI17" t="e">
        <f>AND('Species Data'!A13,"AAAAAH/cdDw=")</f>
        <v>#VALUE!</v>
      </c>
      <c r="BJ17" t="e">
        <f>AND('Species Data'!B13,"AAAAAH/cdD0=")</f>
        <v>#VALUE!</v>
      </c>
      <c r="BK17" t="e">
        <f>AND('Species Data'!C13,"AAAAAH/cdD4=")</f>
        <v>#VALUE!</v>
      </c>
      <c r="BL17" t="e">
        <f>AND('Species Data'!D13,"AAAAAH/cdD8=")</f>
        <v>#VALUE!</v>
      </c>
      <c r="BM17" t="e">
        <f>AND('Species Data'!E13,"AAAAAH/cdEA=")</f>
        <v>#VALUE!</v>
      </c>
      <c r="BN17" t="e">
        <f>AND('Species Data'!F13,"AAAAAH/cdEE=")</f>
        <v>#VALUE!</v>
      </c>
      <c r="BO17" t="e">
        <f>AND('Species Data'!G13,"AAAAAH/cdEI=")</f>
        <v>#VALUE!</v>
      </c>
      <c r="BP17" t="e">
        <f>AND('Species Data'!H13,"AAAAAH/cdEM=")</f>
        <v>#VALUE!</v>
      </c>
      <c r="BQ17" t="e">
        <f>AND('Species Data'!I13,"AAAAAH/cdEQ=")</f>
        <v>#VALUE!</v>
      </c>
      <c r="BR17" t="e">
        <f>AND('Species Data'!J13,"AAAAAH/cdEU=")</f>
        <v>#VALUE!</v>
      </c>
      <c r="BS17" t="e">
        <f>AND('Species Data'!K13,"AAAAAH/cdEY=")</f>
        <v>#VALUE!</v>
      </c>
      <c r="BT17" t="e">
        <f>AND('Species Data'!L13,"AAAAAH/cdEc=")</f>
        <v>#VALUE!</v>
      </c>
      <c r="BU17" t="e">
        <f>AND('Species Data'!M13,"AAAAAH/cdEg=")</f>
        <v>#VALUE!</v>
      </c>
      <c r="BV17" t="e">
        <f>AND('Species Data'!N13,"AAAAAH/cdEk=")</f>
        <v>#VALUE!</v>
      </c>
      <c r="BW17" t="e">
        <f>AND('Species Data'!O13,"AAAAAH/cdEo=")</f>
        <v>#VALUE!</v>
      </c>
      <c r="BX17">
        <f>IF('Species Data'!14:14,"AAAAAH/cdEs=",0)</f>
        <v>0</v>
      </c>
      <c r="BY17" t="e">
        <f>AND('Species Data'!A14,"AAAAAH/cdEw=")</f>
        <v>#VALUE!</v>
      </c>
      <c r="BZ17" t="e">
        <f>AND('Species Data'!B14,"AAAAAH/cdE0=")</f>
        <v>#VALUE!</v>
      </c>
      <c r="CA17" t="e">
        <f>AND('Species Data'!C14,"AAAAAH/cdE4=")</f>
        <v>#VALUE!</v>
      </c>
      <c r="CB17" t="e">
        <f>AND('Species Data'!D14,"AAAAAH/cdE8=")</f>
        <v>#VALUE!</v>
      </c>
      <c r="CC17" t="e">
        <f>AND('Species Data'!E14,"AAAAAH/cdFA=")</f>
        <v>#VALUE!</v>
      </c>
      <c r="CD17" t="e">
        <f>AND('Species Data'!F14,"AAAAAH/cdFE=")</f>
        <v>#VALUE!</v>
      </c>
      <c r="CE17" t="e">
        <f>AND('Species Data'!G14,"AAAAAH/cdFI=")</f>
        <v>#VALUE!</v>
      </c>
      <c r="CF17" t="e">
        <f>AND('Species Data'!H14,"AAAAAH/cdFM=")</f>
        <v>#VALUE!</v>
      </c>
      <c r="CG17" t="e">
        <f>AND('Species Data'!I14,"AAAAAH/cdFQ=")</f>
        <v>#VALUE!</v>
      </c>
      <c r="CH17" t="e">
        <f>AND('Species Data'!J14,"AAAAAH/cdFU=")</f>
        <v>#VALUE!</v>
      </c>
      <c r="CI17" t="e">
        <f>AND('Species Data'!K14,"AAAAAH/cdFY=")</f>
        <v>#VALUE!</v>
      </c>
      <c r="CJ17" t="e">
        <f>AND('Species Data'!L14,"AAAAAH/cdFc=")</f>
        <v>#VALUE!</v>
      </c>
      <c r="CK17" t="e">
        <f>AND('Species Data'!M14,"AAAAAH/cdFg=")</f>
        <v>#VALUE!</v>
      </c>
      <c r="CL17" t="e">
        <f>AND('Species Data'!N14,"AAAAAH/cdFk=")</f>
        <v>#VALUE!</v>
      </c>
      <c r="CM17" t="e">
        <f>AND('Species Data'!O14,"AAAAAH/cdFo=")</f>
        <v>#VALUE!</v>
      </c>
      <c r="CN17">
        <f>IF('Species Data'!15:15,"AAAAAH/cdFs=",0)</f>
        <v>0</v>
      </c>
      <c r="CO17" t="e">
        <f>AND('Species Data'!A15,"AAAAAH/cdFw=")</f>
        <v>#VALUE!</v>
      </c>
      <c r="CP17" t="e">
        <f>AND('Species Data'!B15,"AAAAAH/cdF0=")</f>
        <v>#VALUE!</v>
      </c>
      <c r="CQ17" t="e">
        <f>AND('Species Data'!C15,"AAAAAH/cdF4=")</f>
        <v>#VALUE!</v>
      </c>
      <c r="CR17" t="e">
        <f>AND('Species Data'!D15,"AAAAAH/cdF8=")</f>
        <v>#VALUE!</v>
      </c>
      <c r="CS17" t="e">
        <f>AND('Species Data'!E15,"AAAAAH/cdGA=")</f>
        <v>#VALUE!</v>
      </c>
      <c r="CT17" t="e">
        <f>AND('Species Data'!F15,"AAAAAH/cdGE=")</f>
        <v>#VALUE!</v>
      </c>
      <c r="CU17" t="e">
        <f>AND('Species Data'!G15,"AAAAAH/cdGI=")</f>
        <v>#VALUE!</v>
      </c>
      <c r="CV17" t="e">
        <f>AND('Species Data'!H15,"AAAAAH/cdGM=")</f>
        <v>#VALUE!</v>
      </c>
      <c r="CW17" t="e">
        <f>AND('Species Data'!I15,"AAAAAH/cdGQ=")</f>
        <v>#VALUE!</v>
      </c>
      <c r="CX17" t="e">
        <f>AND('Species Data'!J15,"AAAAAH/cdGU=")</f>
        <v>#VALUE!</v>
      </c>
      <c r="CY17" t="e">
        <f>AND('Species Data'!K15,"AAAAAH/cdGY=")</f>
        <v>#VALUE!</v>
      </c>
      <c r="CZ17" t="e">
        <f>AND('Species Data'!L15,"AAAAAH/cdGc=")</f>
        <v>#VALUE!</v>
      </c>
      <c r="DA17" t="e">
        <f>AND('Species Data'!M15,"AAAAAH/cdGg=")</f>
        <v>#VALUE!</v>
      </c>
      <c r="DB17" t="e">
        <f>AND('Species Data'!N15,"AAAAAH/cdGk=")</f>
        <v>#VALUE!</v>
      </c>
      <c r="DC17" t="e">
        <f>AND('Species Data'!O15,"AAAAAH/cdGo=")</f>
        <v>#VALUE!</v>
      </c>
      <c r="DD17">
        <f>IF('Species Data'!16:16,"AAAAAH/cdGs=",0)</f>
        <v>0</v>
      </c>
      <c r="DE17" t="e">
        <f>AND('Species Data'!A16,"AAAAAH/cdGw=")</f>
        <v>#VALUE!</v>
      </c>
      <c r="DF17" t="e">
        <f>AND('Species Data'!B16,"AAAAAH/cdG0=")</f>
        <v>#VALUE!</v>
      </c>
      <c r="DG17" t="e">
        <f>AND('Species Data'!C16,"AAAAAH/cdG4=")</f>
        <v>#VALUE!</v>
      </c>
      <c r="DH17" t="e">
        <f>AND('Species Data'!D16,"AAAAAH/cdG8=")</f>
        <v>#VALUE!</v>
      </c>
      <c r="DI17" t="e">
        <f>AND('Species Data'!E16,"AAAAAH/cdHA=")</f>
        <v>#VALUE!</v>
      </c>
      <c r="DJ17" t="e">
        <f>AND('Species Data'!F16,"AAAAAH/cdHE=")</f>
        <v>#VALUE!</v>
      </c>
      <c r="DK17" t="e">
        <f>AND('Species Data'!G16,"AAAAAH/cdHI=")</f>
        <v>#VALUE!</v>
      </c>
      <c r="DL17" t="e">
        <f>AND('Species Data'!H16,"AAAAAH/cdHM=")</f>
        <v>#VALUE!</v>
      </c>
      <c r="DM17" t="e">
        <f>AND('Species Data'!I16,"AAAAAH/cdHQ=")</f>
        <v>#VALUE!</v>
      </c>
      <c r="DN17" t="e">
        <f>AND('Species Data'!J16,"AAAAAH/cdHU=")</f>
        <v>#VALUE!</v>
      </c>
      <c r="DO17" t="e">
        <f>AND('Species Data'!K16,"AAAAAH/cdHY=")</f>
        <v>#VALUE!</v>
      </c>
      <c r="DP17" t="e">
        <f>AND('Species Data'!L16,"AAAAAH/cdHc=")</f>
        <v>#VALUE!</v>
      </c>
      <c r="DQ17" t="e">
        <f>AND('Species Data'!M16,"AAAAAH/cdHg=")</f>
        <v>#VALUE!</v>
      </c>
      <c r="DR17" t="e">
        <f>AND('Species Data'!N16,"AAAAAH/cdHk=")</f>
        <v>#VALUE!</v>
      </c>
      <c r="DS17" t="e">
        <f>AND('Species Data'!O16,"AAAAAH/cdHo=")</f>
        <v>#VALUE!</v>
      </c>
      <c r="DT17">
        <f>IF('Species Data'!17:17,"AAAAAH/cdHs=",0)</f>
        <v>0</v>
      </c>
      <c r="DU17" t="e">
        <f>AND('Species Data'!A17,"AAAAAH/cdHw=")</f>
        <v>#VALUE!</v>
      </c>
      <c r="DV17" t="e">
        <f>AND('Species Data'!B17,"AAAAAH/cdH0=")</f>
        <v>#VALUE!</v>
      </c>
      <c r="DW17" t="e">
        <f>AND('Species Data'!C17,"AAAAAH/cdH4=")</f>
        <v>#VALUE!</v>
      </c>
      <c r="DX17" t="e">
        <f>AND('Species Data'!D17,"AAAAAH/cdH8=")</f>
        <v>#VALUE!</v>
      </c>
      <c r="DY17" t="e">
        <f>AND('Species Data'!E17,"AAAAAH/cdIA=")</f>
        <v>#VALUE!</v>
      </c>
      <c r="DZ17" t="e">
        <f>AND('Species Data'!F17,"AAAAAH/cdIE=")</f>
        <v>#VALUE!</v>
      </c>
      <c r="EA17" t="e">
        <f>AND('Species Data'!G17,"AAAAAH/cdII=")</f>
        <v>#VALUE!</v>
      </c>
      <c r="EB17" t="e">
        <f>AND('Species Data'!H17,"AAAAAH/cdIM=")</f>
        <v>#VALUE!</v>
      </c>
      <c r="EC17" t="e">
        <f>AND('Species Data'!I17,"AAAAAH/cdIQ=")</f>
        <v>#VALUE!</v>
      </c>
      <c r="ED17" t="e">
        <f>AND('Species Data'!J17,"AAAAAH/cdIU=")</f>
        <v>#VALUE!</v>
      </c>
      <c r="EE17" t="e">
        <f>AND('Species Data'!K17,"AAAAAH/cdIY=")</f>
        <v>#VALUE!</v>
      </c>
      <c r="EF17" t="e">
        <f>AND('Species Data'!L17,"AAAAAH/cdIc=")</f>
        <v>#VALUE!</v>
      </c>
      <c r="EG17" t="e">
        <f>AND('Species Data'!M17,"AAAAAH/cdIg=")</f>
        <v>#VALUE!</v>
      </c>
      <c r="EH17" t="e">
        <f>AND('Species Data'!N17,"AAAAAH/cdIk=")</f>
        <v>#VALUE!</v>
      </c>
      <c r="EI17" t="e">
        <f>AND('Species Data'!O17,"AAAAAH/cdIo=")</f>
        <v>#VALUE!</v>
      </c>
      <c r="EJ17">
        <f>IF('Species Data'!18:18,"AAAAAH/cdIs=",0)</f>
        <v>0</v>
      </c>
      <c r="EK17" t="e">
        <f>AND('Species Data'!A18,"AAAAAH/cdIw=")</f>
        <v>#VALUE!</v>
      </c>
      <c r="EL17" t="e">
        <f>AND('Species Data'!B18,"AAAAAH/cdI0=")</f>
        <v>#VALUE!</v>
      </c>
      <c r="EM17" t="e">
        <f>AND('Species Data'!C18,"AAAAAH/cdI4=")</f>
        <v>#VALUE!</v>
      </c>
      <c r="EN17" t="e">
        <f>AND('Species Data'!D18,"AAAAAH/cdI8=")</f>
        <v>#VALUE!</v>
      </c>
      <c r="EO17" t="e">
        <f>AND('Species Data'!E18,"AAAAAH/cdJA=")</f>
        <v>#VALUE!</v>
      </c>
      <c r="EP17" t="e">
        <f>AND('Species Data'!F18,"AAAAAH/cdJE=")</f>
        <v>#VALUE!</v>
      </c>
      <c r="EQ17" t="e">
        <f>AND('Species Data'!G18,"AAAAAH/cdJI=")</f>
        <v>#VALUE!</v>
      </c>
      <c r="ER17" t="e">
        <f>AND('Species Data'!H18,"AAAAAH/cdJM=")</f>
        <v>#VALUE!</v>
      </c>
      <c r="ES17" t="e">
        <f>AND('Species Data'!I18,"AAAAAH/cdJQ=")</f>
        <v>#VALUE!</v>
      </c>
      <c r="ET17" t="e">
        <f>AND('Species Data'!J18,"AAAAAH/cdJU=")</f>
        <v>#VALUE!</v>
      </c>
      <c r="EU17" t="e">
        <f>AND('Species Data'!K18,"AAAAAH/cdJY=")</f>
        <v>#VALUE!</v>
      </c>
      <c r="EV17" t="e">
        <f>AND('Species Data'!L18,"AAAAAH/cdJc=")</f>
        <v>#VALUE!</v>
      </c>
      <c r="EW17" t="e">
        <f>AND('Species Data'!M18,"AAAAAH/cdJg=")</f>
        <v>#VALUE!</v>
      </c>
      <c r="EX17" t="e">
        <f>AND('Species Data'!N18,"AAAAAH/cdJk=")</f>
        <v>#VALUE!</v>
      </c>
      <c r="EY17" t="e">
        <f>AND('Species Data'!O18,"AAAAAH/cdJo=")</f>
        <v>#VALUE!</v>
      </c>
      <c r="EZ17">
        <f>IF('Species Data'!19:19,"AAAAAH/cdJs=",0)</f>
        <v>0</v>
      </c>
      <c r="FA17" t="e">
        <f>AND('Species Data'!A19,"AAAAAH/cdJw=")</f>
        <v>#VALUE!</v>
      </c>
      <c r="FB17" t="e">
        <f>AND('Species Data'!B19,"AAAAAH/cdJ0=")</f>
        <v>#VALUE!</v>
      </c>
      <c r="FC17" t="e">
        <f>AND('Species Data'!C19,"AAAAAH/cdJ4=")</f>
        <v>#VALUE!</v>
      </c>
      <c r="FD17" t="e">
        <f>AND('Species Data'!D19,"AAAAAH/cdJ8=")</f>
        <v>#VALUE!</v>
      </c>
      <c r="FE17" t="e">
        <f>AND('Species Data'!E19,"AAAAAH/cdKA=")</f>
        <v>#VALUE!</v>
      </c>
      <c r="FF17" t="e">
        <f>AND('Species Data'!F19,"AAAAAH/cdKE=")</f>
        <v>#VALUE!</v>
      </c>
      <c r="FG17" t="e">
        <f>AND('Species Data'!G19,"AAAAAH/cdKI=")</f>
        <v>#VALUE!</v>
      </c>
      <c r="FH17" t="e">
        <f>AND('Species Data'!H19,"AAAAAH/cdKM=")</f>
        <v>#VALUE!</v>
      </c>
      <c r="FI17" t="e">
        <f>AND('Species Data'!I19,"AAAAAH/cdKQ=")</f>
        <v>#VALUE!</v>
      </c>
      <c r="FJ17" t="e">
        <f>AND('Species Data'!J19,"AAAAAH/cdKU=")</f>
        <v>#VALUE!</v>
      </c>
      <c r="FK17" t="e">
        <f>AND('Species Data'!K19,"AAAAAH/cdKY=")</f>
        <v>#VALUE!</v>
      </c>
      <c r="FL17" t="e">
        <f>AND('Species Data'!L19,"AAAAAH/cdKc=")</f>
        <v>#VALUE!</v>
      </c>
      <c r="FM17" t="e">
        <f>AND('Species Data'!M19,"AAAAAH/cdKg=")</f>
        <v>#VALUE!</v>
      </c>
      <c r="FN17" t="e">
        <f>AND('Species Data'!N19,"AAAAAH/cdKk=")</f>
        <v>#VALUE!</v>
      </c>
      <c r="FO17" t="e">
        <f>AND('Species Data'!O19,"AAAAAH/cdKo=")</f>
        <v>#VALUE!</v>
      </c>
      <c r="FP17">
        <f>IF('Species Data'!20:20,"AAAAAH/cdKs=",0)</f>
        <v>0</v>
      </c>
      <c r="FQ17" t="e">
        <f>AND('Species Data'!A20,"AAAAAH/cdKw=")</f>
        <v>#VALUE!</v>
      </c>
      <c r="FR17" t="e">
        <f>AND('Species Data'!B20,"AAAAAH/cdK0=")</f>
        <v>#VALUE!</v>
      </c>
      <c r="FS17" t="e">
        <f>AND('Species Data'!C20,"AAAAAH/cdK4=")</f>
        <v>#VALUE!</v>
      </c>
      <c r="FT17" t="e">
        <f>AND('Species Data'!D20,"AAAAAH/cdK8=")</f>
        <v>#VALUE!</v>
      </c>
      <c r="FU17" t="e">
        <f>AND('Species Data'!E20,"AAAAAH/cdLA=")</f>
        <v>#VALUE!</v>
      </c>
      <c r="FV17" t="e">
        <f>AND('Species Data'!F20,"AAAAAH/cdLE=")</f>
        <v>#VALUE!</v>
      </c>
      <c r="FW17" t="e">
        <f>AND('Species Data'!G20,"AAAAAH/cdLI=")</f>
        <v>#VALUE!</v>
      </c>
      <c r="FX17" t="e">
        <f>AND('Species Data'!H20,"AAAAAH/cdLM=")</f>
        <v>#VALUE!</v>
      </c>
      <c r="FY17" t="e">
        <f>AND('Species Data'!I20,"AAAAAH/cdLQ=")</f>
        <v>#VALUE!</v>
      </c>
      <c r="FZ17" t="e">
        <f>AND('Species Data'!J20,"AAAAAH/cdLU=")</f>
        <v>#VALUE!</v>
      </c>
      <c r="GA17" t="e">
        <f>AND('Species Data'!K20,"AAAAAH/cdLY=")</f>
        <v>#VALUE!</v>
      </c>
      <c r="GB17" t="e">
        <f>AND('Species Data'!L20,"AAAAAH/cdLc=")</f>
        <v>#VALUE!</v>
      </c>
      <c r="GC17" t="e">
        <f>AND('Species Data'!M20,"AAAAAH/cdLg=")</f>
        <v>#VALUE!</v>
      </c>
      <c r="GD17" t="e">
        <f>AND('Species Data'!N20,"AAAAAH/cdLk=")</f>
        <v>#VALUE!</v>
      </c>
      <c r="GE17" t="e">
        <f>AND('Species Data'!O20,"AAAAAH/cdLo=")</f>
        <v>#VALUE!</v>
      </c>
      <c r="GF17">
        <f>IF('Species Data'!21:21,"AAAAAH/cdLs=",0)</f>
        <v>0</v>
      </c>
      <c r="GG17" t="e">
        <f>AND('Species Data'!A21,"AAAAAH/cdLw=")</f>
        <v>#VALUE!</v>
      </c>
      <c r="GH17" t="e">
        <f>AND('Species Data'!B21,"AAAAAH/cdL0=")</f>
        <v>#VALUE!</v>
      </c>
      <c r="GI17" t="e">
        <f>AND('Species Data'!C21,"AAAAAH/cdL4=")</f>
        <v>#VALUE!</v>
      </c>
      <c r="GJ17" t="e">
        <f>AND('Species Data'!D21,"AAAAAH/cdL8=")</f>
        <v>#VALUE!</v>
      </c>
      <c r="GK17" t="e">
        <f>AND('Species Data'!E21,"AAAAAH/cdMA=")</f>
        <v>#VALUE!</v>
      </c>
      <c r="GL17" t="e">
        <f>AND('Species Data'!F21,"AAAAAH/cdME=")</f>
        <v>#VALUE!</v>
      </c>
      <c r="GM17" t="e">
        <f>AND('Species Data'!G21,"AAAAAH/cdMI=")</f>
        <v>#VALUE!</v>
      </c>
      <c r="GN17" t="e">
        <f>AND('Species Data'!H21,"AAAAAH/cdMM=")</f>
        <v>#VALUE!</v>
      </c>
      <c r="GO17" t="e">
        <f>AND('Species Data'!I21,"AAAAAH/cdMQ=")</f>
        <v>#VALUE!</v>
      </c>
      <c r="GP17" t="e">
        <f>AND('Species Data'!J21,"AAAAAH/cdMU=")</f>
        <v>#VALUE!</v>
      </c>
      <c r="GQ17" t="e">
        <f>AND('Species Data'!K21,"AAAAAH/cdMY=")</f>
        <v>#VALUE!</v>
      </c>
      <c r="GR17" t="e">
        <f>AND('Species Data'!L21,"AAAAAH/cdMc=")</f>
        <v>#VALUE!</v>
      </c>
      <c r="GS17" t="e">
        <f>AND('Species Data'!M21,"AAAAAH/cdMg=")</f>
        <v>#VALUE!</v>
      </c>
      <c r="GT17" t="e">
        <f>AND('Species Data'!N21,"AAAAAH/cdMk=")</f>
        <v>#VALUE!</v>
      </c>
      <c r="GU17" t="e">
        <f>AND('Species Data'!O21,"AAAAAH/cdMo=")</f>
        <v>#VALUE!</v>
      </c>
      <c r="GV17">
        <f>IF('Species Data'!22:22,"AAAAAH/cdMs=",0)</f>
        <v>0</v>
      </c>
      <c r="GW17" t="e">
        <f>AND('Species Data'!A22,"AAAAAH/cdMw=")</f>
        <v>#VALUE!</v>
      </c>
      <c r="GX17" t="e">
        <f>AND('Species Data'!B22,"AAAAAH/cdM0=")</f>
        <v>#VALUE!</v>
      </c>
      <c r="GY17" t="e">
        <f>AND('Species Data'!C22,"AAAAAH/cdM4=")</f>
        <v>#VALUE!</v>
      </c>
      <c r="GZ17" t="e">
        <f>AND('Species Data'!D22,"AAAAAH/cdM8=")</f>
        <v>#VALUE!</v>
      </c>
      <c r="HA17" t="e">
        <f>AND('Species Data'!E22,"AAAAAH/cdNA=")</f>
        <v>#VALUE!</v>
      </c>
      <c r="HB17" t="e">
        <f>AND('Species Data'!F22,"AAAAAH/cdNE=")</f>
        <v>#VALUE!</v>
      </c>
      <c r="HC17" t="e">
        <f>AND('Species Data'!G22,"AAAAAH/cdNI=")</f>
        <v>#VALUE!</v>
      </c>
      <c r="HD17" t="e">
        <f>AND('Species Data'!H22,"AAAAAH/cdNM=")</f>
        <v>#VALUE!</v>
      </c>
      <c r="HE17" t="e">
        <f>AND('Species Data'!I22,"AAAAAH/cdNQ=")</f>
        <v>#VALUE!</v>
      </c>
      <c r="HF17" t="e">
        <f>AND('Species Data'!J22,"AAAAAH/cdNU=")</f>
        <v>#VALUE!</v>
      </c>
      <c r="HG17" t="e">
        <f>AND('Species Data'!K22,"AAAAAH/cdNY=")</f>
        <v>#VALUE!</v>
      </c>
      <c r="HH17" t="e">
        <f>AND('Species Data'!L22,"AAAAAH/cdNc=")</f>
        <v>#VALUE!</v>
      </c>
      <c r="HI17" t="e">
        <f>AND('Species Data'!M22,"AAAAAH/cdNg=")</f>
        <v>#VALUE!</v>
      </c>
      <c r="HJ17" t="e">
        <f>AND('Species Data'!N22,"AAAAAH/cdNk=")</f>
        <v>#VALUE!</v>
      </c>
      <c r="HK17" t="e">
        <f>AND('Species Data'!O22,"AAAAAH/cdNo=")</f>
        <v>#VALUE!</v>
      </c>
      <c r="HL17">
        <f>IF('Species Data'!23:23,"AAAAAH/cdNs=",0)</f>
        <v>0</v>
      </c>
      <c r="HM17" t="e">
        <f>AND('Species Data'!A23,"AAAAAH/cdNw=")</f>
        <v>#VALUE!</v>
      </c>
      <c r="HN17" t="e">
        <f>AND('Species Data'!B23,"AAAAAH/cdN0=")</f>
        <v>#VALUE!</v>
      </c>
      <c r="HO17" t="e">
        <f>AND('Species Data'!C23,"AAAAAH/cdN4=")</f>
        <v>#VALUE!</v>
      </c>
      <c r="HP17" t="e">
        <f>AND('Species Data'!D23,"AAAAAH/cdN8=")</f>
        <v>#VALUE!</v>
      </c>
      <c r="HQ17" t="e">
        <f>AND('Species Data'!E23,"AAAAAH/cdOA=")</f>
        <v>#VALUE!</v>
      </c>
      <c r="HR17" t="e">
        <f>AND('Species Data'!F23,"AAAAAH/cdOE=")</f>
        <v>#VALUE!</v>
      </c>
      <c r="HS17" t="e">
        <f>AND('Species Data'!G23,"AAAAAH/cdOI=")</f>
        <v>#VALUE!</v>
      </c>
      <c r="HT17" t="e">
        <f>AND('Species Data'!H23,"AAAAAH/cdOM=")</f>
        <v>#VALUE!</v>
      </c>
      <c r="HU17" t="e">
        <f>AND('Species Data'!I23,"AAAAAH/cdOQ=")</f>
        <v>#VALUE!</v>
      </c>
      <c r="HV17" t="e">
        <f>AND('Species Data'!J23,"AAAAAH/cdOU=")</f>
        <v>#VALUE!</v>
      </c>
      <c r="HW17" t="e">
        <f>AND('Species Data'!K23,"AAAAAH/cdOY=")</f>
        <v>#VALUE!</v>
      </c>
      <c r="HX17" t="e">
        <f>AND('Species Data'!L23,"AAAAAH/cdOc=")</f>
        <v>#VALUE!</v>
      </c>
      <c r="HY17" t="e">
        <f>AND('Species Data'!M23,"AAAAAH/cdOg=")</f>
        <v>#VALUE!</v>
      </c>
      <c r="HZ17" t="e">
        <f>AND('Species Data'!N23,"AAAAAH/cdOk=")</f>
        <v>#VALUE!</v>
      </c>
      <c r="IA17" t="e">
        <f>AND('Species Data'!O23,"AAAAAH/cdOo=")</f>
        <v>#VALUE!</v>
      </c>
      <c r="IB17">
        <f>IF('Species Data'!24:24,"AAAAAH/cdOs=",0)</f>
        <v>0</v>
      </c>
      <c r="IC17" t="e">
        <f>AND('Species Data'!A24,"AAAAAH/cdOw=")</f>
        <v>#VALUE!</v>
      </c>
      <c r="ID17" t="e">
        <f>AND('Species Data'!B24,"AAAAAH/cdO0=")</f>
        <v>#VALUE!</v>
      </c>
      <c r="IE17" t="e">
        <f>AND('Species Data'!C24,"AAAAAH/cdO4=")</f>
        <v>#VALUE!</v>
      </c>
      <c r="IF17" t="e">
        <f>AND('Species Data'!D24,"AAAAAH/cdO8=")</f>
        <v>#VALUE!</v>
      </c>
      <c r="IG17" t="e">
        <f>AND('Species Data'!E24,"AAAAAH/cdPA=")</f>
        <v>#VALUE!</v>
      </c>
      <c r="IH17" t="e">
        <f>AND('Species Data'!F24,"AAAAAH/cdPE=")</f>
        <v>#VALUE!</v>
      </c>
      <c r="II17" t="e">
        <f>AND('Species Data'!G24,"AAAAAH/cdPI=")</f>
        <v>#VALUE!</v>
      </c>
      <c r="IJ17" t="e">
        <f>AND('Species Data'!H24,"AAAAAH/cdPM=")</f>
        <v>#VALUE!</v>
      </c>
      <c r="IK17" t="e">
        <f>AND('Species Data'!I24,"AAAAAH/cdPQ=")</f>
        <v>#VALUE!</v>
      </c>
      <c r="IL17" t="e">
        <f>AND('Species Data'!J24,"AAAAAH/cdPU=")</f>
        <v>#VALUE!</v>
      </c>
      <c r="IM17" t="e">
        <f>AND('Species Data'!K24,"AAAAAH/cdPY=")</f>
        <v>#VALUE!</v>
      </c>
      <c r="IN17" t="e">
        <f>AND('Species Data'!L24,"AAAAAH/cdPc=")</f>
        <v>#VALUE!</v>
      </c>
      <c r="IO17" t="e">
        <f>AND('Species Data'!M24,"AAAAAH/cdPg=")</f>
        <v>#VALUE!</v>
      </c>
      <c r="IP17" t="e">
        <f>AND('Species Data'!N24,"AAAAAH/cdPk=")</f>
        <v>#VALUE!</v>
      </c>
      <c r="IQ17" t="e">
        <f>AND('Species Data'!O24,"AAAAAH/cdPo=")</f>
        <v>#VALUE!</v>
      </c>
      <c r="IR17">
        <f>IF('Species Data'!25:25,"AAAAAH/cdPs=",0)</f>
        <v>0</v>
      </c>
      <c r="IS17" t="e">
        <f>AND('Species Data'!A25,"AAAAAH/cdPw=")</f>
        <v>#VALUE!</v>
      </c>
      <c r="IT17" t="e">
        <f>AND('Species Data'!B25,"AAAAAH/cdP0=")</f>
        <v>#VALUE!</v>
      </c>
      <c r="IU17" t="e">
        <f>AND('Species Data'!C25,"AAAAAH/cdP4=")</f>
        <v>#VALUE!</v>
      </c>
      <c r="IV17" t="e">
        <f>AND('Species Data'!D25,"AAAAAH/cdP8=")</f>
        <v>#VALUE!</v>
      </c>
    </row>
    <row r="18" spans="1:256">
      <c r="A18" t="e">
        <f>AND('Species Data'!E25,"AAAAADs7/wA=")</f>
        <v>#VALUE!</v>
      </c>
      <c r="B18" t="e">
        <f>AND('Species Data'!F25,"AAAAADs7/wE=")</f>
        <v>#VALUE!</v>
      </c>
      <c r="C18" t="e">
        <f>AND('Species Data'!G25,"AAAAADs7/wI=")</f>
        <v>#VALUE!</v>
      </c>
      <c r="D18" t="e">
        <f>AND('Species Data'!H25,"AAAAADs7/wM=")</f>
        <v>#VALUE!</v>
      </c>
      <c r="E18" t="e">
        <f>AND('Species Data'!I25,"AAAAADs7/wQ=")</f>
        <v>#VALUE!</v>
      </c>
      <c r="F18" t="e">
        <f>AND('Species Data'!J25,"AAAAADs7/wU=")</f>
        <v>#VALUE!</v>
      </c>
      <c r="G18" t="e">
        <f>AND('Species Data'!K25,"AAAAADs7/wY=")</f>
        <v>#VALUE!</v>
      </c>
      <c r="H18" t="e">
        <f>AND('Species Data'!L25,"AAAAADs7/wc=")</f>
        <v>#VALUE!</v>
      </c>
      <c r="I18" t="e">
        <f>AND('Species Data'!M25,"AAAAADs7/wg=")</f>
        <v>#VALUE!</v>
      </c>
      <c r="J18" t="e">
        <f>AND('Species Data'!N25,"AAAAADs7/wk=")</f>
        <v>#VALUE!</v>
      </c>
      <c r="K18" t="e">
        <f>AND('Species Data'!O25,"AAAAADs7/wo=")</f>
        <v>#VALUE!</v>
      </c>
      <c r="L18" t="str">
        <f>IF('Species Data'!26:26,"AAAAADs7/ws=",0)</f>
        <v>AAAAADs7/ws=</v>
      </c>
      <c r="M18" t="e">
        <f>AND('Species Data'!A26,"AAAAADs7/ww=")</f>
        <v>#VALUE!</v>
      </c>
      <c r="N18" t="e">
        <f>AND('Species Data'!B26,"AAAAADs7/w0=")</f>
        <v>#VALUE!</v>
      </c>
      <c r="O18" t="e">
        <f>AND('Species Data'!C26,"AAAAADs7/w4=")</f>
        <v>#VALUE!</v>
      </c>
      <c r="P18" t="e">
        <f>AND('Species Data'!D26,"AAAAADs7/w8=")</f>
        <v>#VALUE!</v>
      </c>
      <c r="Q18" t="e">
        <f>AND('Species Data'!E26,"AAAAADs7/xA=")</f>
        <v>#VALUE!</v>
      </c>
      <c r="R18" t="e">
        <f>AND('Species Data'!F26,"AAAAADs7/xE=")</f>
        <v>#VALUE!</v>
      </c>
      <c r="S18" t="e">
        <f>AND('Species Data'!G26,"AAAAADs7/xI=")</f>
        <v>#VALUE!</v>
      </c>
      <c r="T18" t="e">
        <f>AND('Species Data'!H26,"AAAAADs7/xM=")</f>
        <v>#VALUE!</v>
      </c>
      <c r="U18" t="e">
        <f>AND('Species Data'!I26,"AAAAADs7/xQ=")</f>
        <v>#VALUE!</v>
      </c>
      <c r="V18" t="e">
        <f>AND('Species Data'!J26,"AAAAADs7/xU=")</f>
        <v>#VALUE!</v>
      </c>
      <c r="W18" t="e">
        <f>AND('Species Data'!K26,"AAAAADs7/xY=")</f>
        <v>#VALUE!</v>
      </c>
      <c r="X18" t="e">
        <f>AND('Species Data'!L26,"AAAAADs7/xc=")</f>
        <v>#VALUE!</v>
      </c>
      <c r="Y18" t="e">
        <f>AND('Species Data'!M26,"AAAAADs7/xg=")</f>
        <v>#VALUE!</v>
      </c>
      <c r="Z18" t="e">
        <f>AND('Species Data'!N26,"AAAAADs7/xk=")</f>
        <v>#VALUE!</v>
      </c>
      <c r="AA18" t="e">
        <f>AND('Species Data'!O26,"AAAAADs7/xo=")</f>
        <v>#VALUE!</v>
      </c>
      <c r="AB18">
        <f>IF('Species Data'!27:27,"AAAAADs7/xs=",0)</f>
        <v>0</v>
      </c>
      <c r="AC18" t="e">
        <f>AND('Species Data'!A27,"AAAAADs7/xw=")</f>
        <v>#VALUE!</v>
      </c>
      <c r="AD18" t="e">
        <f>AND('Species Data'!B27,"AAAAADs7/x0=")</f>
        <v>#VALUE!</v>
      </c>
      <c r="AE18" t="e">
        <f>AND('Species Data'!C27,"AAAAADs7/x4=")</f>
        <v>#VALUE!</v>
      </c>
      <c r="AF18" t="e">
        <f>AND('Species Data'!D27,"AAAAADs7/x8=")</f>
        <v>#VALUE!</v>
      </c>
      <c r="AG18" t="e">
        <f>AND('Species Data'!E27,"AAAAADs7/yA=")</f>
        <v>#VALUE!</v>
      </c>
      <c r="AH18" t="e">
        <f>AND('Species Data'!F27,"AAAAADs7/yE=")</f>
        <v>#VALUE!</v>
      </c>
      <c r="AI18" t="e">
        <f>AND('Species Data'!G27,"AAAAADs7/yI=")</f>
        <v>#VALUE!</v>
      </c>
      <c r="AJ18" t="e">
        <f>AND('Species Data'!H27,"AAAAADs7/yM=")</f>
        <v>#VALUE!</v>
      </c>
      <c r="AK18" t="e">
        <f>AND('Species Data'!I27,"AAAAADs7/yQ=")</f>
        <v>#VALUE!</v>
      </c>
      <c r="AL18" t="e">
        <f>AND('Species Data'!J27,"AAAAADs7/yU=")</f>
        <v>#VALUE!</v>
      </c>
      <c r="AM18" t="e">
        <f>AND('Species Data'!K27,"AAAAADs7/yY=")</f>
        <v>#VALUE!</v>
      </c>
      <c r="AN18" t="e">
        <f>AND('Species Data'!L27,"AAAAADs7/yc=")</f>
        <v>#VALUE!</v>
      </c>
      <c r="AO18" t="e">
        <f>AND('Species Data'!M27,"AAAAADs7/yg=")</f>
        <v>#VALUE!</v>
      </c>
      <c r="AP18" t="e">
        <f>AND('Species Data'!N27,"AAAAADs7/yk=")</f>
        <v>#VALUE!</v>
      </c>
      <c r="AQ18" t="e">
        <f>AND('Species Data'!O27,"AAAAADs7/yo=")</f>
        <v>#VALUE!</v>
      </c>
      <c r="AR18">
        <f>IF('Species Data'!28:28,"AAAAADs7/ys=",0)</f>
        <v>0</v>
      </c>
      <c r="AS18" t="e">
        <f>AND('Species Data'!A28,"AAAAADs7/yw=")</f>
        <v>#VALUE!</v>
      </c>
      <c r="AT18" t="e">
        <f>AND('Species Data'!B28,"AAAAADs7/y0=")</f>
        <v>#VALUE!</v>
      </c>
      <c r="AU18" t="e">
        <f>AND('Species Data'!C28,"AAAAADs7/y4=")</f>
        <v>#VALUE!</v>
      </c>
      <c r="AV18" t="e">
        <f>AND('Species Data'!D28,"AAAAADs7/y8=")</f>
        <v>#VALUE!</v>
      </c>
      <c r="AW18" t="e">
        <f>AND('Species Data'!E28,"AAAAADs7/zA=")</f>
        <v>#VALUE!</v>
      </c>
      <c r="AX18" t="e">
        <f>AND('Species Data'!F28,"AAAAADs7/zE=")</f>
        <v>#VALUE!</v>
      </c>
      <c r="AY18" t="e">
        <f>AND('Species Data'!G28,"AAAAADs7/zI=")</f>
        <v>#VALUE!</v>
      </c>
      <c r="AZ18" t="e">
        <f>AND('Species Data'!H28,"AAAAADs7/zM=")</f>
        <v>#VALUE!</v>
      </c>
      <c r="BA18" t="e">
        <f>AND('Species Data'!I28,"AAAAADs7/zQ=")</f>
        <v>#VALUE!</v>
      </c>
      <c r="BB18" t="e">
        <f>AND('Species Data'!J28,"AAAAADs7/zU=")</f>
        <v>#VALUE!</v>
      </c>
      <c r="BC18" t="e">
        <f>AND('Species Data'!K28,"AAAAADs7/zY=")</f>
        <v>#VALUE!</v>
      </c>
      <c r="BD18" t="e">
        <f>AND('Species Data'!L28,"AAAAADs7/zc=")</f>
        <v>#VALUE!</v>
      </c>
      <c r="BE18" t="e">
        <f>AND('Species Data'!M28,"AAAAADs7/zg=")</f>
        <v>#VALUE!</v>
      </c>
      <c r="BF18" t="e">
        <f>AND('Species Data'!N28,"AAAAADs7/zk=")</f>
        <v>#VALUE!</v>
      </c>
      <c r="BG18" t="e">
        <f>AND('Species Data'!O28,"AAAAADs7/zo=")</f>
        <v>#VALUE!</v>
      </c>
      <c r="BH18">
        <f>IF('Species Data'!29:29,"AAAAADs7/zs=",0)</f>
        <v>0</v>
      </c>
      <c r="BI18" t="e">
        <f>AND('Species Data'!A29,"AAAAADs7/zw=")</f>
        <v>#VALUE!</v>
      </c>
      <c r="BJ18" t="e">
        <f>AND('Species Data'!B29,"AAAAADs7/z0=")</f>
        <v>#VALUE!</v>
      </c>
      <c r="BK18" t="e">
        <f>AND('Species Data'!C29,"AAAAADs7/z4=")</f>
        <v>#VALUE!</v>
      </c>
      <c r="BL18" t="e">
        <f>AND('Species Data'!D29,"AAAAADs7/z8=")</f>
        <v>#VALUE!</v>
      </c>
      <c r="BM18" t="e">
        <f>AND('Species Data'!E29,"AAAAADs7/0A=")</f>
        <v>#VALUE!</v>
      </c>
      <c r="BN18" t="e">
        <f>AND('Species Data'!F29,"AAAAADs7/0E=")</f>
        <v>#VALUE!</v>
      </c>
      <c r="BO18" t="e">
        <f>AND('Species Data'!G29,"AAAAADs7/0I=")</f>
        <v>#VALUE!</v>
      </c>
      <c r="BP18" t="e">
        <f>AND('Species Data'!H29,"AAAAADs7/0M=")</f>
        <v>#VALUE!</v>
      </c>
      <c r="BQ18" t="e">
        <f>AND('Species Data'!I29,"AAAAADs7/0Q=")</f>
        <v>#VALUE!</v>
      </c>
      <c r="BR18" t="e">
        <f>AND('Species Data'!J29,"AAAAADs7/0U=")</f>
        <v>#VALUE!</v>
      </c>
      <c r="BS18" t="e">
        <f>AND('Species Data'!K29,"AAAAADs7/0Y=")</f>
        <v>#VALUE!</v>
      </c>
      <c r="BT18" t="e">
        <f>AND('Species Data'!L29,"AAAAADs7/0c=")</f>
        <v>#VALUE!</v>
      </c>
      <c r="BU18" t="e">
        <f>AND('Species Data'!M29,"AAAAADs7/0g=")</f>
        <v>#VALUE!</v>
      </c>
      <c r="BV18" t="e">
        <f>AND('Species Data'!N29,"AAAAADs7/0k=")</f>
        <v>#VALUE!</v>
      </c>
      <c r="BW18" t="e">
        <f>AND('Species Data'!O29,"AAAAADs7/0o=")</f>
        <v>#VALUE!</v>
      </c>
      <c r="BX18">
        <f>IF('Species Data'!30:30,"AAAAADs7/0s=",0)</f>
        <v>0</v>
      </c>
      <c r="BY18" t="e">
        <f>AND('Species Data'!A30,"AAAAADs7/0w=")</f>
        <v>#VALUE!</v>
      </c>
      <c r="BZ18" t="e">
        <f>AND('Species Data'!B30,"AAAAADs7/00=")</f>
        <v>#VALUE!</v>
      </c>
      <c r="CA18" t="e">
        <f>AND('Species Data'!C30,"AAAAADs7/04=")</f>
        <v>#VALUE!</v>
      </c>
      <c r="CB18" t="e">
        <f>AND('Species Data'!D30,"AAAAADs7/08=")</f>
        <v>#VALUE!</v>
      </c>
      <c r="CC18" t="e">
        <f>AND('Species Data'!E30,"AAAAADs7/1A=")</f>
        <v>#VALUE!</v>
      </c>
      <c r="CD18" t="e">
        <f>AND('Species Data'!F30,"AAAAADs7/1E=")</f>
        <v>#VALUE!</v>
      </c>
      <c r="CE18" t="e">
        <f>AND('Species Data'!G30,"AAAAADs7/1I=")</f>
        <v>#VALUE!</v>
      </c>
      <c r="CF18" t="e">
        <f>AND('Species Data'!H30,"AAAAADs7/1M=")</f>
        <v>#VALUE!</v>
      </c>
      <c r="CG18" t="e">
        <f>AND('Species Data'!I30,"AAAAADs7/1Q=")</f>
        <v>#VALUE!</v>
      </c>
      <c r="CH18" t="e">
        <f>AND('Species Data'!J30,"AAAAADs7/1U=")</f>
        <v>#VALUE!</v>
      </c>
      <c r="CI18" t="e">
        <f>AND('Species Data'!K30,"AAAAADs7/1Y=")</f>
        <v>#VALUE!</v>
      </c>
      <c r="CJ18" t="e">
        <f>AND('Species Data'!L30,"AAAAADs7/1c=")</f>
        <v>#VALUE!</v>
      </c>
      <c r="CK18" t="e">
        <f>AND('Species Data'!M30,"AAAAADs7/1g=")</f>
        <v>#VALUE!</v>
      </c>
      <c r="CL18" t="e">
        <f>AND('Species Data'!N30,"AAAAADs7/1k=")</f>
        <v>#VALUE!</v>
      </c>
      <c r="CM18" t="e">
        <f>AND('Species Data'!O30,"AAAAADs7/1o=")</f>
        <v>#VALUE!</v>
      </c>
      <c r="CN18">
        <f>IF('Species Data'!31:31,"AAAAADs7/1s=",0)</f>
        <v>0</v>
      </c>
      <c r="CO18" t="e">
        <f>AND('Species Data'!A31,"AAAAADs7/1w=")</f>
        <v>#VALUE!</v>
      </c>
      <c r="CP18" t="e">
        <f>AND('Species Data'!B31,"AAAAADs7/10=")</f>
        <v>#VALUE!</v>
      </c>
      <c r="CQ18" t="e">
        <f>AND('Species Data'!C31,"AAAAADs7/14=")</f>
        <v>#VALUE!</v>
      </c>
      <c r="CR18" t="e">
        <f>AND('Species Data'!D31,"AAAAADs7/18=")</f>
        <v>#VALUE!</v>
      </c>
      <c r="CS18" t="e">
        <f>AND('Species Data'!E31,"AAAAADs7/2A=")</f>
        <v>#VALUE!</v>
      </c>
      <c r="CT18" t="e">
        <f>AND('Species Data'!F31,"AAAAADs7/2E=")</f>
        <v>#VALUE!</v>
      </c>
      <c r="CU18" t="e">
        <f>AND('Species Data'!G31,"AAAAADs7/2I=")</f>
        <v>#VALUE!</v>
      </c>
      <c r="CV18" t="e">
        <f>AND('Species Data'!H31,"AAAAADs7/2M=")</f>
        <v>#VALUE!</v>
      </c>
      <c r="CW18" t="e">
        <f>AND('Species Data'!I31,"AAAAADs7/2Q=")</f>
        <v>#VALUE!</v>
      </c>
      <c r="CX18" t="e">
        <f>AND('Species Data'!J31,"AAAAADs7/2U=")</f>
        <v>#VALUE!</v>
      </c>
      <c r="CY18" t="e">
        <f>AND('Species Data'!K31,"AAAAADs7/2Y=")</f>
        <v>#VALUE!</v>
      </c>
      <c r="CZ18" t="e">
        <f>AND('Species Data'!L31,"AAAAADs7/2c=")</f>
        <v>#VALUE!</v>
      </c>
      <c r="DA18" t="e">
        <f>AND('Species Data'!M31,"AAAAADs7/2g=")</f>
        <v>#VALUE!</v>
      </c>
      <c r="DB18" t="e">
        <f>AND('Species Data'!N31,"AAAAADs7/2k=")</f>
        <v>#VALUE!</v>
      </c>
      <c r="DC18" t="e">
        <f>AND('Species Data'!O31,"AAAAADs7/2o=")</f>
        <v>#VALUE!</v>
      </c>
      <c r="DD18">
        <f>IF('Species Data'!32:32,"AAAAADs7/2s=",0)</f>
        <v>0</v>
      </c>
      <c r="DE18" t="e">
        <f>AND('Species Data'!A32,"AAAAADs7/2w=")</f>
        <v>#VALUE!</v>
      </c>
      <c r="DF18" t="e">
        <f>AND('Species Data'!B32,"AAAAADs7/20=")</f>
        <v>#VALUE!</v>
      </c>
      <c r="DG18" t="e">
        <f>AND('Species Data'!C32,"AAAAADs7/24=")</f>
        <v>#VALUE!</v>
      </c>
      <c r="DH18" t="e">
        <f>AND('Species Data'!D32,"AAAAADs7/28=")</f>
        <v>#VALUE!</v>
      </c>
      <c r="DI18" t="e">
        <f>AND('Species Data'!E32,"AAAAADs7/3A=")</f>
        <v>#VALUE!</v>
      </c>
      <c r="DJ18" t="e">
        <f>AND('Species Data'!F32,"AAAAADs7/3E=")</f>
        <v>#VALUE!</v>
      </c>
      <c r="DK18" t="e">
        <f>AND('Species Data'!G32,"AAAAADs7/3I=")</f>
        <v>#VALUE!</v>
      </c>
      <c r="DL18" t="e">
        <f>AND('Species Data'!H32,"AAAAADs7/3M=")</f>
        <v>#VALUE!</v>
      </c>
      <c r="DM18" t="e">
        <f>AND('Species Data'!I32,"AAAAADs7/3Q=")</f>
        <v>#VALUE!</v>
      </c>
      <c r="DN18" t="e">
        <f>AND('Species Data'!J32,"AAAAADs7/3U=")</f>
        <v>#VALUE!</v>
      </c>
      <c r="DO18" t="e">
        <f>AND('Species Data'!K32,"AAAAADs7/3Y=")</f>
        <v>#VALUE!</v>
      </c>
      <c r="DP18" t="e">
        <f>AND('Species Data'!L32,"AAAAADs7/3c=")</f>
        <v>#VALUE!</v>
      </c>
      <c r="DQ18" t="e">
        <f>AND('Species Data'!M32,"AAAAADs7/3g=")</f>
        <v>#VALUE!</v>
      </c>
      <c r="DR18" t="e">
        <f>AND('Species Data'!N32,"AAAAADs7/3k=")</f>
        <v>#VALUE!</v>
      </c>
      <c r="DS18" t="e">
        <f>AND('Species Data'!O32,"AAAAADs7/3o=")</f>
        <v>#VALUE!</v>
      </c>
      <c r="DT18">
        <f>IF('Species Data'!33:33,"AAAAADs7/3s=",0)</f>
        <v>0</v>
      </c>
      <c r="DU18" t="e">
        <f>AND('Species Data'!A33,"AAAAADs7/3w=")</f>
        <v>#VALUE!</v>
      </c>
      <c r="DV18" t="e">
        <f>AND('Species Data'!B33,"AAAAADs7/30=")</f>
        <v>#VALUE!</v>
      </c>
      <c r="DW18" t="e">
        <f>AND('Species Data'!C33,"AAAAADs7/34=")</f>
        <v>#VALUE!</v>
      </c>
      <c r="DX18" t="e">
        <f>AND('Species Data'!D33,"AAAAADs7/38=")</f>
        <v>#VALUE!</v>
      </c>
      <c r="DY18" t="e">
        <f>AND('Species Data'!E33,"AAAAADs7/4A=")</f>
        <v>#VALUE!</v>
      </c>
      <c r="DZ18" t="e">
        <f>AND('Species Data'!F33,"AAAAADs7/4E=")</f>
        <v>#VALUE!</v>
      </c>
      <c r="EA18" t="e">
        <f>AND('Species Data'!G33,"AAAAADs7/4I=")</f>
        <v>#VALUE!</v>
      </c>
      <c r="EB18" t="e">
        <f>AND('Species Data'!H33,"AAAAADs7/4M=")</f>
        <v>#VALUE!</v>
      </c>
      <c r="EC18" t="e">
        <f>AND('Species Data'!I33,"AAAAADs7/4Q=")</f>
        <v>#VALUE!</v>
      </c>
      <c r="ED18" t="e">
        <f>AND('Species Data'!J33,"AAAAADs7/4U=")</f>
        <v>#VALUE!</v>
      </c>
      <c r="EE18" t="e">
        <f>AND('Species Data'!K33,"AAAAADs7/4Y=")</f>
        <v>#VALUE!</v>
      </c>
      <c r="EF18" t="e">
        <f>AND('Species Data'!L33,"AAAAADs7/4c=")</f>
        <v>#VALUE!</v>
      </c>
      <c r="EG18" t="e">
        <f>AND('Species Data'!M33,"AAAAADs7/4g=")</f>
        <v>#VALUE!</v>
      </c>
      <c r="EH18" t="e">
        <f>AND('Species Data'!N33,"AAAAADs7/4k=")</f>
        <v>#VALUE!</v>
      </c>
      <c r="EI18" t="e">
        <f>AND('Species Data'!O33,"AAAAADs7/4o=")</f>
        <v>#VALUE!</v>
      </c>
      <c r="EJ18">
        <f>IF('Species Data'!34:34,"AAAAADs7/4s=",0)</f>
        <v>0</v>
      </c>
      <c r="EK18" t="e">
        <f>AND('Species Data'!A34,"AAAAADs7/4w=")</f>
        <v>#VALUE!</v>
      </c>
      <c r="EL18" t="e">
        <f>AND('Species Data'!B34,"AAAAADs7/40=")</f>
        <v>#VALUE!</v>
      </c>
      <c r="EM18" t="e">
        <f>AND('Species Data'!C34,"AAAAADs7/44=")</f>
        <v>#VALUE!</v>
      </c>
      <c r="EN18" t="e">
        <f>AND('Species Data'!D34,"AAAAADs7/48=")</f>
        <v>#VALUE!</v>
      </c>
      <c r="EO18" t="e">
        <f>AND('Species Data'!E34,"AAAAADs7/5A=")</f>
        <v>#VALUE!</v>
      </c>
      <c r="EP18" t="e">
        <f>AND('Species Data'!F34,"AAAAADs7/5E=")</f>
        <v>#VALUE!</v>
      </c>
      <c r="EQ18" t="e">
        <f>AND('Species Data'!G34,"AAAAADs7/5I=")</f>
        <v>#VALUE!</v>
      </c>
      <c r="ER18" t="e">
        <f>AND('Species Data'!H34,"AAAAADs7/5M=")</f>
        <v>#VALUE!</v>
      </c>
      <c r="ES18" t="e">
        <f>AND('Species Data'!I34,"AAAAADs7/5Q=")</f>
        <v>#VALUE!</v>
      </c>
      <c r="ET18" t="e">
        <f>AND('Species Data'!J34,"AAAAADs7/5U=")</f>
        <v>#VALUE!</v>
      </c>
      <c r="EU18" t="e">
        <f>AND('Species Data'!K34,"AAAAADs7/5Y=")</f>
        <v>#VALUE!</v>
      </c>
      <c r="EV18" t="e">
        <f>AND('Species Data'!L34,"AAAAADs7/5c=")</f>
        <v>#VALUE!</v>
      </c>
      <c r="EW18" t="e">
        <f>AND('Species Data'!M34,"AAAAADs7/5g=")</f>
        <v>#VALUE!</v>
      </c>
      <c r="EX18" t="e">
        <f>AND('Species Data'!N34,"AAAAADs7/5k=")</f>
        <v>#VALUE!</v>
      </c>
      <c r="EY18" t="e">
        <f>AND('Species Data'!O34,"AAAAADs7/5o=")</f>
        <v>#VALUE!</v>
      </c>
      <c r="EZ18">
        <f>IF('Species Data'!35:35,"AAAAADs7/5s=",0)</f>
        <v>0</v>
      </c>
      <c r="FA18" t="e">
        <f>AND('Species Data'!A35,"AAAAADs7/5w=")</f>
        <v>#VALUE!</v>
      </c>
      <c r="FB18" t="e">
        <f>AND('Species Data'!B35,"AAAAADs7/50=")</f>
        <v>#VALUE!</v>
      </c>
      <c r="FC18" t="e">
        <f>AND('Species Data'!C35,"AAAAADs7/54=")</f>
        <v>#VALUE!</v>
      </c>
      <c r="FD18" t="e">
        <f>AND('Species Data'!D35,"AAAAADs7/58=")</f>
        <v>#VALUE!</v>
      </c>
      <c r="FE18" t="e">
        <f>AND('Species Data'!E35,"AAAAADs7/6A=")</f>
        <v>#VALUE!</v>
      </c>
      <c r="FF18" t="e">
        <f>AND('Species Data'!F35,"AAAAADs7/6E=")</f>
        <v>#VALUE!</v>
      </c>
      <c r="FG18" t="e">
        <f>AND('Species Data'!G35,"AAAAADs7/6I=")</f>
        <v>#VALUE!</v>
      </c>
      <c r="FH18" t="e">
        <f>AND('Species Data'!H35,"AAAAADs7/6M=")</f>
        <v>#VALUE!</v>
      </c>
      <c r="FI18" t="e">
        <f>AND('Species Data'!I35,"AAAAADs7/6Q=")</f>
        <v>#VALUE!</v>
      </c>
      <c r="FJ18" t="e">
        <f>AND('Species Data'!J35,"AAAAADs7/6U=")</f>
        <v>#VALUE!</v>
      </c>
      <c r="FK18" t="e">
        <f>AND('Species Data'!K35,"AAAAADs7/6Y=")</f>
        <v>#VALUE!</v>
      </c>
      <c r="FL18" t="e">
        <f>AND('Species Data'!L35,"AAAAADs7/6c=")</f>
        <v>#VALUE!</v>
      </c>
      <c r="FM18" t="e">
        <f>AND('Species Data'!M35,"AAAAADs7/6g=")</f>
        <v>#VALUE!</v>
      </c>
      <c r="FN18" t="e">
        <f>AND('Species Data'!N35,"AAAAADs7/6k=")</f>
        <v>#VALUE!</v>
      </c>
      <c r="FO18" t="e">
        <f>AND('Species Data'!O35,"AAAAADs7/6o=")</f>
        <v>#VALUE!</v>
      </c>
      <c r="FP18">
        <f>IF('Species Data'!36:36,"AAAAADs7/6s=",0)</f>
        <v>0</v>
      </c>
      <c r="FQ18" t="e">
        <f>AND('Species Data'!A36,"AAAAADs7/6w=")</f>
        <v>#VALUE!</v>
      </c>
      <c r="FR18" t="e">
        <f>AND('Species Data'!B36,"AAAAADs7/60=")</f>
        <v>#VALUE!</v>
      </c>
      <c r="FS18" t="e">
        <f>AND('Species Data'!C36,"AAAAADs7/64=")</f>
        <v>#VALUE!</v>
      </c>
      <c r="FT18" t="e">
        <f>AND('Species Data'!D36,"AAAAADs7/68=")</f>
        <v>#VALUE!</v>
      </c>
      <c r="FU18" t="e">
        <f>AND('Species Data'!E36,"AAAAADs7/7A=")</f>
        <v>#VALUE!</v>
      </c>
      <c r="FV18" t="e">
        <f>AND('Species Data'!F36,"AAAAADs7/7E=")</f>
        <v>#VALUE!</v>
      </c>
      <c r="FW18" t="e">
        <f>AND('Species Data'!G36,"AAAAADs7/7I=")</f>
        <v>#VALUE!</v>
      </c>
      <c r="FX18" t="e">
        <f>AND('Species Data'!H36,"AAAAADs7/7M=")</f>
        <v>#VALUE!</v>
      </c>
      <c r="FY18" t="e">
        <f>AND('Species Data'!I36,"AAAAADs7/7Q=")</f>
        <v>#VALUE!</v>
      </c>
      <c r="FZ18" t="e">
        <f>AND('Species Data'!J36,"AAAAADs7/7U=")</f>
        <v>#VALUE!</v>
      </c>
      <c r="GA18" t="e">
        <f>AND('Species Data'!K36,"AAAAADs7/7Y=")</f>
        <v>#VALUE!</v>
      </c>
      <c r="GB18" t="e">
        <f>AND('Species Data'!L36,"AAAAADs7/7c=")</f>
        <v>#VALUE!</v>
      </c>
      <c r="GC18" t="e">
        <f>AND('Species Data'!M36,"AAAAADs7/7g=")</f>
        <v>#VALUE!</v>
      </c>
      <c r="GD18" t="e">
        <f>AND('Species Data'!N36,"AAAAADs7/7k=")</f>
        <v>#VALUE!</v>
      </c>
      <c r="GE18" t="e">
        <f>AND('Species Data'!O36,"AAAAADs7/7o=")</f>
        <v>#VALUE!</v>
      </c>
      <c r="GF18">
        <f>IF('Species Data'!37:37,"AAAAADs7/7s=",0)</f>
        <v>0</v>
      </c>
      <c r="GG18" t="e">
        <f>AND('Species Data'!A37,"AAAAADs7/7w=")</f>
        <v>#VALUE!</v>
      </c>
      <c r="GH18" t="e">
        <f>AND('Species Data'!B37,"AAAAADs7/70=")</f>
        <v>#VALUE!</v>
      </c>
      <c r="GI18" t="e">
        <f>AND('Species Data'!C37,"AAAAADs7/74=")</f>
        <v>#VALUE!</v>
      </c>
      <c r="GJ18" t="e">
        <f>AND('Species Data'!D37,"AAAAADs7/78=")</f>
        <v>#VALUE!</v>
      </c>
      <c r="GK18" t="e">
        <f>AND('Species Data'!E37,"AAAAADs7/8A=")</f>
        <v>#VALUE!</v>
      </c>
      <c r="GL18" t="e">
        <f>AND('Species Data'!F37,"AAAAADs7/8E=")</f>
        <v>#VALUE!</v>
      </c>
      <c r="GM18" t="e">
        <f>AND('Species Data'!G37,"AAAAADs7/8I=")</f>
        <v>#VALUE!</v>
      </c>
      <c r="GN18" t="e">
        <f>AND('Species Data'!H37,"AAAAADs7/8M=")</f>
        <v>#VALUE!</v>
      </c>
      <c r="GO18" t="e">
        <f>AND('Species Data'!I37,"AAAAADs7/8Q=")</f>
        <v>#VALUE!</v>
      </c>
      <c r="GP18" t="e">
        <f>AND('Species Data'!J37,"AAAAADs7/8U=")</f>
        <v>#VALUE!</v>
      </c>
      <c r="GQ18" t="e">
        <f>AND('Species Data'!K37,"AAAAADs7/8Y=")</f>
        <v>#VALUE!</v>
      </c>
      <c r="GR18" t="e">
        <f>AND('Species Data'!L37,"AAAAADs7/8c=")</f>
        <v>#VALUE!</v>
      </c>
      <c r="GS18" t="e">
        <f>AND('Species Data'!M37,"AAAAADs7/8g=")</f>
        <v>#VALUE!</v>
      </c>
      <c r="GT18" t="e">
        <f>AND('Species Data'!N37,"AAAAADs7/8k=")</f>
        <v>#VALUE!</v>
      </c>
      <c r="GU18" t="e">
        <f>AND('Species Data'!O37,"AAAAADs7/8o=")</f>
        <v>#VALUE!</v>
      </c>
      <c r="GV18">
        <f>IF('Species Data'!38:38,"AAAAADs7/8s=",0)</f>
        <v>0</v>
      </c>
      <c r="GW18" t="e">
        <f>AND('Species Data'!A38,"AAAAADs7/8w=")</f>
        <v>#VALUE!</v>
      </c>
      <c r="GX18" t="e">
        <f>AND('Species Data'!B38,"AAAAADs7/80=")</f>
        <v>#VALUE!</v>
      </c>
      <c r="GY18" t="e">
        <f>AND('Species Data'!C38,"AAAAADs7/84=")</f>
        <v>#VALUE!</v>
      </c>
      <c r="GZ18" t="e">
        <f>AND('Species Data'!D38,"AAAAADs7/88=")</f>
        <v>#VALUE!</v>
      </c>
      <c r="HA18" t="e">
        <f>AND('Species Data'!E38,"AAAAADs7/9A=")</f>
        <v>#VALUE!</v>
      </c>
      <c r="HB18" t="e">
        <f>AND('Species Data'!F38,"AAAAADs7/9E=")</f>
        <v>#VALUE!</v>
      </c>
      <c r="HC18" t="e">
        <f>AND('Species Data'!G38,"AAAAADs7/9I=")</f>
        <v>#VALUE!</v>
      </c>
      <c r="HD18" t="e">
        <f>AND('Species Data'!H38,"AAAAADs7/9M=")</f>
        <v>#VALUE!</v>
      </c>
      <c r="HE18" t="e">
        <f>AND('Species Data'!I38,"AAAAADs7/9Q=")</f>
        <v>#VALUE!</v>
      </c>
      <c r="HF18" t="e">
        <f>AND('Species Data'!J38,"AAAAADs7/9U=")</f>
        <v>#VALUE!</v>
      </c>
      <c r="HG18" t="e">
        <f>AND('Species Data'!K38,"AAAAADs7/9Y=")</f>
        <v>#VALUE!</v>
      </c>
      <c r="HH18" t="e">
        <f>AND('Species Data'!L38,"AAAAADs7/9c=")</f>
        <v>#VALUE!</v>
      </c>
      <c r="HI18" t="e">
        <f>AND('Species Data'!M38,"AAAAADs7/9g=")</f>
        <v>#VALUE!</v>
      </c>
      <c r="HJ18" t="e">
        <f>AND('Species Data'!N38,"AAAAADs7/9k=")</f>
        <v>#VALUE!</v>
      </c>
      <c r="HK18" t="e">
        <f>AND('Species Data'!O38,"AAAAADs7/9o=")</f>
        <v>#VALUE!</v>
      </c>
      <c r="HL18">
        <f>IF('Species Data'!39:39,"AAAAADs7/9s=",0)</f>
        <v>0</v>
      </c>
      <c r="HM18" t="e">
        <f>AND('Species Data'!A39,"AAAAADs7/9w=")</f>
        <v>#VALUE!</v>
      </c>
      <c r="HN18" t="e">
        <f>AND('Species Data'!B39,"AAAAADs7/90=")</f>
        <v>#VALUE!</v>
      </c>
      <c r="HO18" t="e">
        <f>AND('Species Data'!C39,"AAAAADs7/94=")</f>
        <v>#VALUE!</v>
      </c>
      <c r="HP18" t="e">
        <f>AND('Species Data'!D39,"AAAAADs7/98=")</f>
        <v>#VALUE!</v>
      </c>
      <c r="HQ18" t="e">
        <f>AND('Species Data'!E39,"AAAAADs7/+A=")</f>
        <v>#VALUE!</v>
      </c>
      <c r="HR18" t="e">
        <f>AND('Species Data'!F39,"AAAAADs7/+E=")</f>
        <v>#VALUE!</v>
      </c>
      <c r="HS18" t="e">
        <f>AND('Species Data'!G39,"AAAAADs7/+I=")</f>
        <v>#VALUE!</v>
      </c>
      <c r="HT18" t="e">
        <f>AND('Species Data'!H39,"AAAAADs7/+M=")</f>
        <v>#VALUE!</v>
      </c>
      <c r="HU18" t="e">
        <f>AND('Species Data'!I39,"AAAAADs7/+Q=")</f>
        <v>#VALUE!</v>
      </c>
      <c r="HV18" t="e">
        <f>AND('Species Data'!J39,"AAAAADs7/+U=")</f>
        <v>#VALUE!</v>
      </c>
      <c r="HW18" t="e">
        <f>AND('Species Data'!K39,"AAAAADs7/+Y=")</f>
        <v>#VALUE!</v>
      </c>
      <c r="HX18" t="e">
        <f>AND('Species Data'!L39,"AAAAADs7/+c=")</f>
        <v>#VALUE!</v>
      </c>
      <c r="HY18" t="e">
        <f>AND('Species Data'!M39,"AAAAADs7/+g=")</f>
        <v>#VALUE!</v>
      </c>
      <c r="HZ18" t="e">
        <f>AND('Species Data'!N39,"AAAAADs7/+k=")</f>
        <v>#VALUE!</v>
      </c>
      <c r="IA18" t="e">
        <f>AND('Species Data'!O39,"AAAAADs7/+o=")</f>
        <v>#VALUE!</v>
      </c>
      <c r="IB18">
        <f>IF('Species Data'!40:40,"AAAAADs7/+s=",0)</f>
        <v>0</v>
      </c>
      <c r="IC18" t="e">
        <f>AND('Species Data'!A40,"AAAAADs7/+w=")</f>
        <v>#VALUE!</v>
      </c>
      <c r="ID18" t="e">
        <f>AND('Species Data'!B40,"AAAAADs7/+0=")</f>
        <v>#VALUE!</v>
      </c>
      <c r="IE18" t="e">
        <f>AND('Species Data'!C40,"AAAAADs7/+4=")</f>
        <v>#VALUE!</v>
      </c>
      <c r="IF18" t="e">
        <f>AND('Species Data'!D40,"AAAAADs7/+8=")</f>
        <v>#VALUE!</v>
      </c>
      <c r="IG18" t="e">
        <f>AND('Species Data'!E40,"AAAAADs7//A=")</f>
        <v>#VALUE!</v>
      </c>
      <c r="IH18" t="e">
        <f>AND('Species Data'!F40,"AAAAADs7//E=")</f>
        <v>#VALUE!</v>
      </c>
      <c r="II18" t="e">
        <f>AND('Species Data'!G40,"AAAAADs7//I=")</f>
        <v>#VALUE!</v>
      </c>
      <c r="IJ18" t="e">
        <f>AND('Species Data'!H40,"AAAAADs7//M=")</f>
        <v>#VALUE!</v>
      </c>
      <c r="IK18" t="e">
        <f>AND('Species Data'!I40,"AAAAADs7//Q=")</f>
        <v>#VALUE!</v>
      </c>
      <c r="IL18" t="e">
        <f>AND('Species Data'!J40,"AAAAADs7//U=")</f>
        <v>#VALUE!</v>
      </c>
      <c r="IM18" t="e">
        <f>AND('Species Data'!K40,"AAAAADs7//Y=")</f>
        <v>#VALUE!</v>
      </c>
      <c r="IN18" t="e">
        <f>AND('Species Data'!L40,"AAAAADs7//c=")</f>
        <v>#VALUE!</v>
      </c>
      <c r="IO18" t="e">
        <f>AND('Species Data'!M40,"AAAAADs7//g=")</f>
        <v>#VALUE!</v>
      </c>
      <c r="IP18" t="e">
        <f>AND('Species Data'!N40,"AAAAADs7//k=")</f>
        <v>#VALUE!</v>
      </c>
      <c r="IQ18" t="e">
        <f>AND('Species Data'!O40,"AAAAADs7//o=")</f>
        <v>#VALUE!</v>
      </c>
      <c r="IR18">
        <f>IF('Species Data'!41:41,"AAAAADs7//s=",0)</f>
        <v>0</v>
      </c>
      <c r="IS18" t="e">
        <f>AND('Species Data'!A41,"AAAAADs7//w=")</f>
        <v>#VALUE!</v>
      </c>
      <c r="IT18" t="e">
        <f>AND('Species Data'!B41,"AAAAADs7//0=")</f>
        <v>#VALUE!</v>
      </c>
      <c r="IU18" t="e">
        <f>AND('Species Data'!C41,"AAAAADs7//4=")</f>
        <v>#VALUE!</v>
      </c>
      <c r="IV18" t="e">
        <f>AND('Species Data'!D41,"AAAAADs7//8=")</f>
        <v>#VALUE!</v>
      </c>
    </row>
    <row r="19" spans="1:256">
      <c r="A19" t="e">
        <f>AND('Species Data'!E41,"AAAAAB/f/gA=")</f>
        <v>#VALUE!</v>
      </c>
      <c r="B19" t="e">
        <f>AND('Species Data'!F41,"AAAAAB/f/gE=")</f>
        <v>#VALUE!</v>
      </c>
      <c r="C19" t="e">
        <f>AND('Species Data'!G41,"AAAAAB/f/gI=")</f>
        <v>#VALUE!</v>
      </c>
      <c r="D19" t="e">
        <f>AND('Species Data'!H41,"AAAAAB/f/gM=")</f>
        <v>#VALUE!</v>
      </c>
      <c r="E19" t="e">
        <f>AND('Species Data'!I41,"AAAAAB/f/gQ=")</f>
        <v>#VALUE!</v>
      </c>
      <c r="F19" t="e">
        <f>AND('Species Data'!J41,"AAAAAB/f/gU=")</f>
        <v>#VALUE!</v>
      </c>
      <c r="G19" t="e">
        <f>AND('Species Data'!K41,"AAAAAB/f/gY=")</f>
        <v>#VALUE!</v>
      </c>
      <c r="H19" t="e">
        <f>AND('Species Data'!L41,"AAAAAB/f/gc=")</f>
        <v>#VALUE!</v>
      </c>
      <c r="I19" t="e">
        <f>AND('Species Data'!M41,"AAAAAB/f/gg=")</f>
        <v>#VALUE!</v>
      </c>
      <c r="J19" t="e">
        <f>AND('Species Data'!N41,"AAAAAB/f/gk=")</f>
        <v>#VALUE!</v>
      </c>
      <c r="K19" t="e">
        <f>AND('Species Data'!O41,"AAAAAB/f/go=")</f>
        <v>#VALUE!</v>
      </c>
      <c r="L19" t="str">
        <f>IF('Species Data'!42:42,"AAAAAB/f/gs=",0)</f>
        <v>AAAAAB/f/gs=</v>
      </c>
      <c r="M19" t="e">
        <f>AND('Species Data'!A42,"AAAAAB/f/gw=")</f>
        <v>#VALUE!</v>
      </c>
      <c r="N19" t="e">
        <f>AND('Species Data'!B42,"AAAAAB/f/g0=")</f>
        <v>#VALUE!</v>
      </c>
      <c r="O19" t="e">
        <f>AND('Species Data'!C42,"AAAAAB/f/g4=")</f>
        <v>#VALUE!</v>
      </c>
      <c r="P19" t="e">
        <f>AND('Species Data'!D42,"AAAAAB/f/g8=")</f>
        <v>#VALUE!</v>
      </c>
      <c r="Q19" t="e">
        <f>AND('Species Data'!E42,"AAAAAB/f/hA=")</f>
        <v>#VALUE!</v>
      </c>
      <c r="R19" t="e">
        <f>AND('Species Data'!F42,"AAAAAB/f/hE=")</f>
        <v>#VALUE!</v>
      </c>
      <c r="S19" t="e">
        <f>AND('Species Data'!G42,"AAAAAB/f/hI=")</f>
        <v>#VALUE!</v>
      </c>
      <c r="T19" t="e">
        <f>AND('Species Data'!H42,"AAAAAB/f/hM=")</f>
        <v>#VALUE!</v>
      </c>
      <c r="U19" t="e">
        <f>AND('Species Data'!I42,"AAAAAB/f/hQ=")</f>
        <v>#VALUE!</v>
      </c>
      <c r="V19" t="e">
        <f>AND('Species Data'!J42,"AAAAAB/f/hU=")</f>
        <v>#VALUE!</v>
      </c>
      <c r="W19" t="e">
        <f>AND('Species Data'!K42,"AAAAAB/f/hY=")</f>
        <v>#VALUE!</v>
      </c>
      <c r="X19" t="e">
        <f>AND('Species Data'!L42,"AAAAAB/f/hc=")</f>
        <v>#VALUE!</v>
      </c>
      <c r="Y19" t="e">
        <f>AND('Species Data'!M42,"AAAAAB/f/hg=")</f>
        <v>#VALUE!</v>
      </c>
      <c r="Z19" t="e">
        <f>AND('Species Data'!N42,"AAAAAB/f/hk=")</f>
        <v>#VALUE!</v>
      </c>
      <c r="AA19" t="e">
        <f>AND('Species Data'!O42,"AAAAAB/f/ho=")</f>
        <v>#VALUE!</v>
      </c>
      <c r="AB19">
        <f>IF('Species Data'!43:43,"AAAAAB/f/hs=",0)</f>
        <v>0</v>
      </c>
      <c r="AC19" t="e">
        <f>AND('Species Data'!A43,"AAAAAB/f/hw=")</f>
        <v>#VALUE!</v>
      </c>
      <c r="AD19" t="e">
        <f>AND('Species Data'!B43,"AAAAAB/f/h0=")</f>
        <v>#VALUE!</v>
      </c>
      <c r="AE19" t="e">
        <f>AND('Species Data'!C43,"AAAAAB/f/h4=")</f>
        <v>#VALUE!</v>
      </c>
      <c r="AF19" t="e">
        <f>AND('Species Data'!D43,"AAAAAB/f/h8=")</f>
        <v>#VALUE!</v>
      </c>
      <c r="AG19" t="e">
        <f>AND('Species Data'!E43,"AAAAAB/f/iA=")</f>
        <v>#VALUE!</v>
      </c>
      <c r="AH19" t="e">
        <f>AND('Species Data'!F43,"AAAAAB/f/iE=")</f>
        <v>#VALUE!</v>
      </c>
      <c r="AI19" t="e">
        <f>AND('Species Data'!G43,"AAAAAB/f/iI=")</f>
        <v>#VALUE!</v>
      </c>
      <c r="AJ19" t="e">
        <f>AND('Species Data'!H43,"AAAAAB/f/iM=")</f>
        <v>#VALUE!</v>
      </c>
      <c r="AK19" t="e">
        <f>AND('Species Data'!I43,"AAAAAB/f/iQ=")</f>
        <v>#VALUE!</v>
      </c>
      <c r="AL19" t="e">
        <f>AND('Species Data'!J43,"AAAAAB/f/iU=")</f>
        <v>#VALUE!</v>
      </c>
      <c r="AM19" t="e">
        <f>AND('Species Data'!K43,"AAAAAB/f/iY=")</f>
        <v>#VALUE!</v>
      </c>
      <c r="AN19" t="e">
        <f>AND('Species Data'!L43,"AAAAAB/f/ic=")</f>
        <v>#VALUE!</v>
      </c>
      <c r="AO19" t="e">
        <f>AND('Species Data'!M43,"AAAAAB/f/ig=")</f>
        <v>#VALUE!</v>
      </c>
      <c r="AP19" t="e">
        <f>AND('Species Data'!N43,"AAAAAB/f/ik=")</f>
        <v>#VALUE!</v>
      </c>
      <c r="AQ19" t="e">
        <f>AND('Species Data'!O43,"AAAAAB/f/io=")</f>
        <v>#VALUE!</v>
      </c>
      <c r="AR19">
        <f>IF('Species Data'!44:44,"AAAAAB/f/is=",0)</f>
        <v>0</v>
      </c>
      <c r="AS19" t="e">
        <f>AND('Species Data'!A44,"AAAAAB/f/iw=")</f>
        <v>#VALUE!</v>
      </c>
      <c r="AT19" t="e">
        <f>AND('Species Data'!B44,"AAAAAB/f/i0=")</f>
        <v>#VALUE!</v>
      </c>
      <c r="AU19" t="e">
        <f>AND('Species Data'!C44,"AAAAAB/f/i4=")</f>
        <v>#VALUE!</v>
      </c>
      <c r="AV19" t="e">
        <f>AND('Species Data'!D44,"AAAAAB/f/i8=")</f>
        <v>#VALUE!</v>
      </c>
      <c r="AW19" t="e">
        <f>AND('Species Data'!E44,"AAAAAB/f/jA=")</f>
        <v>#VALUE!</v>
      </c>
      <c r="AX19" t="e">
        <f>AND('Species Data'!F44,"AAAAAB/f/jE=")</f>
        <v>#VALUE!</v>
      </c>
      <c r="AY19" t="e">
        <f>AND('Species Data'!G44,"AAAAAB/f/jI=")</f>
        <v>#VALUE!</v>
      </c>
      <c r="AZ19" t="e">
        <f>AND('Species Data'!H44,"AAAAAB/f/jM=")</f>
        <v>#VALUE!</v>
      </c>
      <c r="BA19" t="e">
        <f>AND('Species Data'!I44,"AAAAAB/f/jQ=")</f>
        <v>#VALUE!</v>
      </c>
      <c r="BB19" t="e">
        <f>AND('Species Data'!J44,"AAAAAB/f/jU=")</f>
        <v>#VALUE!</v>
      </c>
      <c r="BC19" t="e">
        <f>AND('Species Data'!K44,"AAAAAB/f/jY=")</f>
        <v>#VALUE!</v>
      </c>
      <c r="BD19" t="e">
        <f>AND('Species Data'!L44,"AAAAAB/f/jc=")</f>
        <v>#VALUE!</v>
      </c>
      <c r="BE19" t="e">
        <f>AND('Species Data'!M44,"AAAAAB/f/jg=")</f>
        <v>#VALUE!</v>
      </c>
      <c r="BF19" t="e">
        <f>AND('Species Data'!N44,"AAAAAB/f/jk=")</f>
        <v>#VALUE!</v>
      </c>
      <c r="BG19" t="e">
        <f>AND('Species Data'!O44,"AAAAAB/f/jo=")</f>
        <v>#VALUE!</v>
      </c>
      <c r="BH19">
        <f>IF('Species Data'!45:45,"AAAAAB/f/js=",0)</f>
        <v>0</v>
      </c>
      <c r="BI19" t="e">
        <f>AND('Species Data'!A45,"AAAAAB/f/jw=")</f>
        <v>#VALUE!</v>
      </c>
      <c r="BJ19" t="e">
        <f>AND('Species Data'!B45,"AAAAAB/f/j0=")</f>
        <v>#VALUE!</v>
      </c>
      <c r="BK19" t="e">
        <f>AND('Species Data'!C45,"AAAAAB/f/j4=")</f>
        <v>#VALUE!</v>
      </c>
      <c r="BL19" t="e">
        <f>AND('Species Data'!D45,"AAAAAB/f/j8=")</f>
        <v>#VALUE!</v>
      </c>
      <c r="BM19" t="e">
        <f>AND('Species Data'!E45,"AAAAAB/f/kA=")</f>
        <v>#VALUE!</v>
      </c>
      <c r="BN19" t="e">
        <f>AND('Species Data'!F45,"AAAAAB/f/kE=")</f>
        <v>#VALUE!</v>
      </c>
      <c r="BO19" t="e">
        <f>AND('Species Data'!G45,"AAAAAB/f/kI=")</f>
        <v>#VALUE!</v>
      </c>
      <c r="BP19" t="e">
        <f>AND('Species Data'!H45,"AAAAAB/f/kM=")</f>
        <v>#VALUE!</v>
      </c>
      <c r="BQ19" t="e">
        <f>AND('Species Data'!I45,"AAAAAB/f/kQ=")</f>
        <v>#VALUE!</v>
      </c>
      <c r="BR19" t="e">
        <f>AND('Species Data'!J45,"AAAAAB/f/kU=")</f>
        <v>#VALUE!</v>
      </c>
      <c r="BS19" t="e">
        <f>AND('Species Data'!K45,"AAAAAB/f/kY=")</f>
        <v>#VALUE!</v>
      </c>
      <c r="BT19" t="e">
        <f>AND('Species Data'!L45,"AAAAAB/f/kc=")</f>
        <v>#VALUE!</v>
      </c>
      <c r="BU19" t="e">
        <f>AND('Species Data'!M45,"AAAAAB/f/kg=")</f>
        <v>#VALUE!</v>
      </c>
      <c r="BV19" t="e">
        <f>AND('Species Data'!N45,"AAAAAB/f/kk=")</f>
        <v>#VALUE!</v>
      </c>
      <c r="BW19" t="e">
        <f>AND('Species Data'!O45,"AAAAAB/f/ko=")</f>
        <v>#VALUE!</v>
      </c>
      <c r="BX19">
        <f>IF('Species Data'!46:46,"AAAAAB/f/ks=",0)</f>
        <v>0</v>
      </c>
      <c r="BY19" t="e">
        <f>AND('Species Data'!A46,"AAAAAB/f/kw=")</f>
        <v>#VALUE!</v>
      </c>
      <c r="BZ19" t="e">
        <f>AND('Species Data'!B46,"AAAAAB/f/k0=")</f>
        <v>#VALUE!</v>
      </c>
      <c r="CA19" t="e">
        <f>AND('Species Data'!C46,"AAAAAB/f/k4=")</f>
        <v>#VALUE!</v>
      </c>
      <c r="CB19" t="e">
        <f>AND('Species Data'!D46,"AAAAAB/f/k8=")</f>
        <v>#VALUE!</v>
      </c>
      <c r="CC19" t="e">
        <f>AND('Species Data'!E46,"AAAAAB/f/lA=")</f>
        <v>#VALUE!</v>
      </c>
      <c r="CD19" t="e">
        <f>AND('Species Data'!F46,"AAAAAB/f/lE=")</f>
        <v>#VALUE!</v>
      </c>
      <c r="CE19" t="e">
        <f>AND('Species Data'!G46,"AAAAAB/f/lI=")</f>
        <v>#VALUE!</v>
      </c>
      <c r="CF19" t="e">
        <f>AND('Species Data'!H46,"AAAAAB/f/lM=")</f>
        <v>#VALUE!</v>
      </c>
      <c r="CG19" t="e">
        <f>AND('Species Data'!I46,"AAAAAB/f/lQ=")</f>
        <v>#VALUE!</v>
      </c>
      <c r="CH19" t="e">
        <f>AND('Species Data'!J46,"AAAAAB/f/lU=")</f>
        <v>#VALUE!</v>
      </c>
      <c r="CI19" t="e">
        <f>AND('Species Data'!K46,"AAAAAB/f/lY=")</f>
        <v>#VALUE!</v>
      </c>
      <c r="CJ19" t="e">
        <f>AND('Species Data'!L46,"AAAAAB/f/lc=")</f>
        <v>#VALUE!</v>
      </c>
      <c r="CK19" t="e">
        <f>AND('Species Data'!M46,"AAAAAB/f/lg=")</f>
        <v>#VALUE!</v>
      </c>
      <c r="CL19" t="e">
        <f>AND('Species Data'!N46,"AAAAAB/f/lk=")</f>
        <v>#VALUE!</v>
      </c>
      <c r="CM19" t="e">
        <f>AND('Species Data'!O46,"AAAAAB/f/lo=")</f>
        <v>#VALUE!</v>
      </c>
      <c r="CN19">
        <f>IF('Species Data'!47:47,"AAAAAB/f/ls=",0)</f>
        <v>0</v>
      </c>
      <c r="CO19" t="e">
        <f>AND('Species Data'!A47,"AAAAAB/f/lw=")</f>
        <v>#VALUE!</v>
      </c>
      <c r="CP19" t="e">
        <f>AND('Species Data'!B47,"AAAAAB/f/l0=")</f>
        <v>#VALUE!</v>
      </c>
      <c r="CQ19" t="e">
        <f>AND('Species Data'!C47,"AAAAAB/f/l4=")</f>
        <v>#VALUE!</v>
      </c>
      <c r="CR19" t="e">
        <f>AND('Species Data'!D47,"AAAAAB/f/l8=")</f>
        <v>#VALUE!</v>
      </c>
      <c r="CS19" t="e">
        <f>AND('Species Data'!E47,"AAAAAB/f/mA=")</f>
        <v>#VALUE!</v>
      </c>
      <c r="CT19" t="e">
        <f>AND('Species Data'!F47,"AAAAAB/f/mE=")</f>
        <v>#VALUE!</v>
      </c>
      <c r="CU19" t="e">
        <f>AND('Species Data'!G47,"AAAAAB/f/mI=")</f>
        <v>#VALUE!</v>
      </c>
      <c r="CV19" t="e">
        <f>AND('Species Data'!H47,"AAAAAB/f/mM=")</f>
        <v>#VALUE!</v>
      </c>
      <c r="CW19" t="e">
        <f>AND('Species Data'!I47,"AAAAAB/f/mQ=")</f>
        <v>#VALUE!</v>
      </c>
      <c r="CX19" t="e">
        <f>AND('Species Data'!J47,"AAAAAB/f/mU=")</f>
        <v>#VALUE!</v>
      </c>
      <c r="CY19" t="e">
        <f>AND('Species Data'!K47,"AAAAAB/f/mY=")</f>
        <v>#VALUE!</v>
      </c>
      <c r="CZ19" t="e">
        <f>AND('Species Data'!L47,"AAAAAB/f/mc=")</f>
        <v>#VALUE!</v>
      </c>
      <c r="DA19" t="e">
        <f>AND('Species Data'!M47,"AAAAAB/f/mg=")</f>
        <v>#VALUE!</v>
      </c>
      <c r="DB19" t="e">
        <f>AND('Species Data'!N47,"AAAAAB/f/mk=")</f>
        <v>#VALUE!</v>
      </c>
      <c r="DC19" t="e">
        <f>AND('Species Data'!O47,"AAAAAB/f/mo=")</f>
        <v>#VALUE!</v>
      </c>
      <c r="DD19">
        <f>IF('Species Data'!48:48,"AAAAAB/f/ms=",0)</f>
        <v>0</v>
      </c>
      <c r="DE19" t="e">
        <f>AND('Species Data'!A48,"AAAAAB/f/mw=")</f>
        <v>#VALUE!</v>
      </c>
      <c r="DF19" t="e">
        <f>AND('Species Data'!B48,"AAAAAB/f/m0=")</f>
        <v>#VALUE!</v>
      </c>
      <c r="DG19" t="e">
        <f>AND('Species Data'!C48,"AAAAAB/f/m4=")</f>
        <v>#VALUE!</v>
      </c>
      <c r="DH19" t="e">
        <f>AND('Species Data'!D48,"AAAAAB/f/m8=")</f>
        <v>#VALUE!</v>
      </c>
      <c r="DI19" t="e">
        <f>AND('Species Data'!E48,"AAAAAB/f/nA=")</f>
        <v>#VALUE!</v>
      </c>
      <c r="DJ19" t="e">
        <f>AND('Species Data'!F48,"AAAAAB/f/nE=")</f>
        <v>#VALUE!</v>
      </c>
      <c r="DK19" t="e">
        <f>AND('Species Data'!G48,"AAAAAB/f/nI=")</f>
        <v>#VALUE!</v>
      </c>
      <c r="DL19" t="e">
        <f>AND('Species Data'!H48,"AAAAAB/f/nM=")</f>
        <v>#VALUE!</v>
      </c>
      <c r="DM19" t="e">
        <f>AND('Species Data'!I48,"AAAAAB/f/nQ=")</f>
        <v>#VALUE!</v>
      </c>
      <c r="DN19" t="e">
        <f>AND('Species Data'!J48,"AAAAAB/f/nU=")</f>
        <v>#VALUE!</v>
      </c>
      <c r="DO19" t="e">
        <f>AND('Species Data'!K48,"AAAAAB/f/nY=")</f>
        <v>#VALUE!</v>
      </c>
      <c r="DP19" t="e">
        <f>AND('Species Data'!L48,"AAAAAB/f/nc=")</f>
        <v>#VALUE!</v>
      </c>
      <c r="DQ19" t="e">
        <f>AND('Species Data'!M48,"AAAAAB/f/ng=")</f>
        <v>#VALUE!</v>
      </c>
      <c r="DR19" t="e">
        <f>AND('Species Data'!N48,"AAAAAB/f/nk=")</f>
        <v>#VALUE!</v>
      </c>
      <c r="DS19" t="e">
        <f>AND('Species Data'!O48,"AAAAAB/f/no=")</f>
        <v>#VALUE!</v>
      </c>
      <c r="DT19">
        <f>IF('Species Data'!49:49,"AAAAAB/f/ns=",0)</f>
        <v>0</v>
      </c>
      <c r="DU19" t="e">
        <f>AND('Species Data'!A49,"AAAAAB/f/nw=")</f>
        <v>#VALUE!</v>
      </c>
      <c r="DV19" t="e">
        <f>AND('Species Data'!B49,"AAAAAB/f/n0=")</f>
        <v>#VALUE!</v>
      </c>
      <c r="DW19" t="e">
        <f>AND('Species Data'!C49,"AAAAAB/f/n4=")</f>
        <v>#VALUE!</v>
      </c>
      <c r="DX19" t="e">
        <f>AND('Species Data'!D49,"AAAAAB/f/n8=")</f>
        <v>#VALUE!</v>
      </c>
      <c r="DY19" t="e">
        <f>AND('Species Data'!E49,"AAAAAB/f/oA=")</f>
        <v>#VALUE!</v>
      </c>
      <c r="DZ19" t="e">
        <f>AND('Species Data'!F49,"AAAAAB/f/oE=")</f>
        <v>#VALUE!</v>
      </c>
      <c r="EA19" t="e">
        <f>AND('Species Data'!G49,"AAAAAB/f/oI=")</f>
        <v>#VALUE!</v>
      </c>
      <c r="EB19" t="e">
        <f>AND('Species Data'!H49,"AAAAAB/f/oM=")</f>
        <v>#VALUE!</v>
      </c>
      <c r="EC19" t="e">
        <f>AND('Species Data'!I49,"AAAAAB/f/oQ=")</f>
        <v>#VALUE!</v>
      </c>
      <c r="ED19" t="e">
        <f>AND('Species Data'!J49,"AAAAAB/f/oU=")</f>
        <v>#VALUE!</v>
      </c>
      <c r="EE19" t="e">
        <f>AND('Species Data'!K49,"AAAAAB/f/oY=")</f>
        <v>#VALUE!</v>
      </c>
      <c r="EF19" t="e">
        <f>AND('Species Data'!L49,"AAAAAB/f/oc=")</f>
        <v>#VALUE!</v>
      </c>
      <c r="EG19" t="e">
        <f>AND('Species Data'!M49,"AAAAAB/f/og=")</f>
        <v>#VALUE!</v>
      </c>
      <c r="EH19" t="e">
        <f>AND('Species Data'!N49,"AAAAAB/f/ok=")</f>
        <v>#VALUE!</v>
      </c>
      <c r="EI19" t="e">
        <f>AND('Species Data'!O49,"AAAAAB/f/oo=")</f>
        <v>#VALUE!</v>
      </c>
      <c r="EJ19">
        <f>IF('Species Data'!50:50,"AAAAAB/f/os=",0)</f>
        <v>0</v>
      </c>
      <c r="EK19" t="e">
        <f>AND('Species Data'!A50,"AAAAAB/f/ow=")</f>
        <v>#VALUE!</v>
      </c>
      <c r="EL19" t="e">
        <f>AND('Species Data'!B50,"AAAAAB/f/o0=")</f>
        <v>#VALUE!</v>
      </c>
      <c r="EM19" t="e">
        <f>AND('Species Data'!C50,"AAAAAB/f/o4=")</f>
        <v>#VALUE!</v>
      </c>
      <c r="EN19" t="e">
        <f>AND('Species Data'!D50,"AAAAAB/f/o8=")</f>
        <v>#VALUE!</v>
      </c>
      <c r="EO19" t="e">
        <f>AND('Species Data'!E50,"AAAAAB/f/pA=")</f>
        <v>#VALUE!</v>
      </c>
      <c r="EP19" t="e">
        <f>AND('Species Data'!F50,"AAAAAB/f/pE=")</f>
        <v>#VALUE!</v>
      </c>
      <c r="EQ19" t="e">
        <f>AND('Species Data'!G50,"AAAAAB/f/pI=")</f>
        <v>#VALUE!</v>
      </c>
      <c r="ER19" t="e">
        <f>AND('Species Data'!H50,"AAAAAB/f/pM=")</f>
        <v>#VALUE!</v>
      </c>
      <c r="ES19" t="e">
        <f>AND('Species Data'!I50,"AAAAAB/f/pQ=")</f>
        <v>#VALUE!</v>
      </c>
      <c r="ET19" t="e">
        <f>AND('Species Data'!J50,"AAAAAB/f/pU=")</f>
        <v>#VALUE!</v>
      </c>
      <c r="EU19" t="e">
        <f>AND('Species Data'!K50,"AAAAAB/f/pY=")</f>
        <v>#VALUE!</v>
      </c>
      <c r="EV19" t="e">
        <f>AND('Species Data'!L50,"AAAAAB/f/pc=")</f>
        <v>#VALUE!</v>
      </c>
      <c r="EW19" t="e">
        <f>AND('Species Data'!M50,"AAAAAB/f/pg=")</f>
        <v>#VALUE!</v>
      </c>
      <c r="EX19" t="e">
        <f>AND('Species Data'!N50,"AAAAAB/f/pk=")</f>
        <v>#VALUE!</v>
      </c>
      <c r="EY19" t="e">
        <f>AND('Species Data'!O50,"AAAAAB/f/po=")</f>
        <v>#VALUE!</v>
      </c>
      <c r="EZ19">
        <f>IF('Species Data'!51:51,"AAAAAB/f/ps=",0)</f>
        <v>0</v>
      </c>
      <c r="FA19" t="e">
        <f>AND('Species Data'!A51,"AAAAAB/f/pw=")</f>
        <v>#VALUE!</v>
      </c>
      <c r="FB19" t="e">
        <f>AND('Species Data'!B51,"AAAAAB/f/p0=")</f>
        <v>#VALUE!</v>
      </c>
      <c r="FC19" t="e">
        <f>AND('Species Data'!C51,"AAAAAB/f/p4=")</f>
        <v>#VALUE!</v>
      </c>
      <c r="FD19" t="e">
        <f>AND('Species Data'!D51,"AAAAAB/f/p8=")</f>
        <v>#VALUE!</v>
      </c>
      <c r="FE19" t="e">
        <f>AND('Species Data'!E51,"AAAAAB/f/qA=")</f>
        <v>#VALUE!</v>
      </c>
      <c r="FF19" t="e">
        <f>AND('Species Data'!F51,"AAAAAB/f/qE=")</f>
        <v>#VALUE!</v>
      </c>
      <c r="FG19" t="e">
        <f>AND('Species Data'!G51,"AAAAAB/f/qI=")</f>
        <v>#VALUE!</v>
      </c>
      <c r="FH19" t="e">
        <f>AND('Species Data'!H51,"AAAAAB/f/qM=")</f>
        <v>#VALUE!</v>
      </c>
      <c r="FI19" t="e">
        <f>AND('Species Data'!I51,"AAAAAB/f/qQ=")</f>
        <v>#VALUE!</v>
      </c>
      <c r="FJ19" t="e">
        <f>AND('Species Data'!J51,"AAAAAB/f/qU=")</f>
        <v>#VALUE!</v>
      </c>
      <c r="FK19" t="e">
        <f>AND('Species Data'!K51,"AAAAAB/f/qY=")</f>
        <v>#VALUE!</v>
      </c>
      <c r="FL19" t="e">
        <f>AND('Species Data'!L51,"AAAAAB/f/qc=")</f>
        <v>#VALUE!</v>
      </c>
      <c r="FM19" t="e">
        <f>AND('Species Data'!M51,"AAAAAB/f/qg=")</f>
        <v>#VALUE!</v>
      </c>
      <c r="FN19" t="e">
        <f>AND('Species Data'!N51,"AAAAAB/f/qk=")</f>
        <v>#VALUE!</v>
      </c>
      <c r="FO19" t="e">
        <f>AND('Species Data'!O51,"AAAAAB/f/qo=")</f>
        <v>#VALUE!</v>
      </c>
      <c r="FP19">
        <f>IF('Species Data'!52:52,"AAAAAB/f/qs=",0)</f>
        <v>0</v>
      </c>
      <c r="FQ19" t="e">
        <f>AND('Species Data'!A52,"AAAAAB/f/qw=")</f>
        <v>#VALUE!</v>
      </c>
      <c r="FR19" t="e">
        <f>AND('Species Data'!B52,"AAAAAB/f/q0=")</f>
        <v>#VALUE!</v>
      </c>
      <c r="FS19" t="e">
        <f>AND('Species Data'!C52,"AAAAAB/f/q4=")</f>
        <v>#VALUE!</v>
      </c>
      <c r="FT19" t="e">
        <f>AND('Species Data'!D52,"AAAAAB/f/q8=")</f>
        <v>#VALUE!</v>
      </c>
      <c r="FU19" t="e">
        <f>AND('Species Data'!E52,"AAAAAB/f/rA=")</f>
        <v>#VALUE!</v>
      </c>
      <c r="FV19" t="e">
        <f>AND('Species Data'!F52,"AAAAAB/f/rE=")</f>
        <v>#VALUE!</v>
      </c>
      <c r="FW19" t="e">
        <f>AND('Species Data'!G52,"AAAAAB/f/rI=")</f>
        <v>#VALUE!</v>
      </c>
      <c r="FX19" t="e">
        <f>AND('Species Data'!H52,"AAAAAB/f/rM=")</f>
        <v>#VALUE!</v>
      </c>
      <c r="FY19" t="e">
        <f>AND('Species Data'!I52,"AAAAAB/f/rQ=")</f>
        <v>#VALUE!</v>
      </c>
      <c r="FZ19" t="e">
        <f>AND('Species Data'!J52,"AAAAAB/f/rU=")</f>
        <v>#VALUE!</v>
      </c>
      <c r="GA19" t="e">
        <f>AND('Species Data'!K52,"AAAAAB/f/rY=")</f>
        <v>#VALUE!</v>
      </c>
      <c r="GB19" t="e">
        <f>AND('Species Data'!L52,"AAAAAB/f/rc=")</f>
        <v>#VALUE!</v>
      </c>
      <c r="GC19" t="e">
        <f>AND('Species Data'!M52,"AAAAAB/f/rg=")</f>
        <v>#VALUE!</v>
      </c>
      <c r="GD19" t="e">
        <f>AND('Species Data'!N52,"AAAAAB/f/rk=")</f>
        <v>#VALUE!</v>
      </c>
      <c r="GE19" t="e">
        <f>AND('Species Data'!O52,"AAAAAB/f/ro=")</f>
        <v>#VALUE!</v>
      </c>
      <c r="GF19">
        <f>IF('Species Data'!53:53,"AAAAAB/f/rs=",0)</f>
        <v>0</v>
      </c>
      <c r="GG19" t="e">
        <f>AND('Species Data'!A53,"AAAAAB/f/rw=")</f>
        <v>#VALUE!</v>
      </c>
      <c r="GH19" t="e">
        <f>AND('Species Data'!B53,"AAAAAB/f/r0=")</f>
        <v>#VALUE!</v>
      </c>
      <c r="GI19" t="e">
        <f>AND('Species Data'!C53,"AAAAAB/f/r4=")</f>
        <v>#VALUE!</v>
      </c>
      <c r="GJ19" t="e">
        <f>AND('Species Data'!D53,"AAAAAB/f/r8=")</f>
        <v>#VALUE!</v>
      </c>
      <c r="GK19" t="e">
        <f>AND('Species Data'!E53,"AAAAAB/f/sA=")</f>
        <v>#VALUE!</v>
      </c>
      <c r="GL19" t="e">
        <f>AND('Species Data'!F53,"AAAAAB/f/sE=")</f>
        <v>#VALUE!</v>
      </c>
      <c r="GM19" t="e">
        <f>AND('Species Data'!G53,"AAAAAB/f/sI=")</f>
        <v>#VALUE!</v>
      </c>
      <c r="GN19" t="e">
        <f>AND('Species Data'!H53,"AAAAAB/f/sM=")</f>
        <v>#VALUE!</v>
      </c>
      <c r="GO19" t="e">
        <f>AND('Species Data'!I53,"AAAAAB/f/sQ=")</f>
        <v>#VALUE!</v>
      </c>
      <c r="GP19" t="e">
        <f>AND('Species Data'!J53,"AAAAAB/f/sU=")</f>
        <v>#VALUE!</v>
      </c>
      <c r="GQ19" t="e">
        <f>AND('Species Data'!K53,"AAAAAB/f/sY=")</f>
        <v>#VALUE!</v>
      </c>
      <c r="GR19" t="e">
        <f>AND('Species Data'!L53,"AAAAAB/f/sc=")</f>
        <v>#VALUE!</v>
      </c>
      <c r="GS19" t="e">
        <f>AND('Species Data'!M53,"AAAAAB/f/sg=")</f>
        <v>#VALUE!</v>
      </c>
      <c r="GT19" t="e">
        <f>AND('Species Data'!N53,"AAAAAB/f/sk=")</f>
        <v>#VALUE!</v>
      </c>
      <c r="GU19" t="e">
        <f>AND('Species Data'!O53,"AAAAAB/f/so=")</f>
        <v>#VALUE!</v>
      </c>
      <c r="GV19">
        <f>IF('Species Data'!54:54,"AAAAAB/f/ss=",0)</f>
        <v>0</v>
      </c>
      <c r="GW19" t="e">
        <f>AND('Species Data'!A54,"AAAAAB/f/sw=")</f>
        <v>#VALUE!</v>
      </c>
      <c r="GX19" t="e">
        <f>AND('Species Data'!B54,"AAAAAB/f/s0=")</f>
        <v>#VALUE!</v>
      </c>
      <c r="GY19" t="e">
        <f>AND('Species Data'!C54,"AAAAAB/f/s4=")</f>
        <v>#VALUE!</v>
      </c>
      <c r="GZ19" t="e">
        <f>AND('Species Data'!D54,"AAAAAB/f/s8=")</f>
        <v>#VALUE!</v>
      </c>
      <c r="HA19" t="e">
        <f>AND('Species Data'!E54,"AAAAAB/f/tA=")</f>
        <v>#VALUE!</v>
      </c>
      <c r="HB19" t="e">
        <f>AND('Species Data'!F54,"AAAAAB/f/tE=")</f>
        <v>#VALUE!</v>
      </c>
      <c r="HC19" t="e">
        <f>AND('Species Data'!G54,"AAAAAB/f/tI=")</f>
        <v>#VALUE!</v>
      </c>
      <c r="HD19" t="e">
        <f>AND('Species Data'!H54,"AAAAAB/f/tM=")</f>
        <v>#VALUE!</v>
      </c>
      <c r="HE19" t="e">
        <f>AND('Species Data'!I54,"AAAAAB/f/tQ=")</f>
        <v>#VALUE!</v>
      </c>
      <c r="HF19" t="e">
        <f>AND('Species Data'!J54,"AAAAAB/f/tU=")</f>
        <v>#VALUE!</v>
      </c>
      <c r="HG19" t="e">
        <f>AND('Species Data'!K54,"AAAAAB/f/tY=")</f>
        <v>#VALUE!</v>
      </c>
      <c r="HH19" t="e">
        <f>AND('Species Data'!L54,"AAAAAB/f/tc=")</f>
        <v>#VALUE!</v>
      </c>
      <c r="HI19" t="e">
        <f>AND('Species Data'!M54,"AAAAAB/f/tg=")</f>
        <v>#VALUE!</v>
      </c>
      <c r="HJ19" t="e">
        <f>AND('Species Data'!N54,"AAAAAB/f/tk=")</f>
        <v>#VALUE!</v>
      </c>
      <c r="HK19" t="e">
        <f>AND('Species Data'!O54,"AAAAAB/f/to=")</f>
        <v>#VALUE!</v>
      </c>
      <c r="HL19">
        <f>IF('Species Data'!55:55,"AAAAAB/f/ts=",0)</f>
        <v>0</v>
      </c>
      <c r="HM19" t="e">
        <f>AND('Species Data'!A55,"AAAAAB/f/tw=")</f>
        <v>#VALUE!</v>
      </c>
      <c r="HN19" t="e">
        <f>AND('Species Data'!B55,"AAAAAB/f/t0=")</f>
        <v>#VALUE!</v>
      </c>
      <c r="HO19" t="e">
        <f>AND('Species Data'!C55,"AAAAAB/f/t4=")</f>
        <v>#VALUE!</v>
      </c>
      <c r="HP19" t="e">
        <f>AND('Species Data'!D55,"AAAAAB/f/t8=")</f>
        <v>#VALUE!</v>
      </c>
      <c r="HQ19" t="e">
        <f>AND('Species Data'!E55,"AAAAAB/f/uA=")</f>
        <v>#VALUE!</v>
      </c>
      <c r="HR19" t="e">
        <f>AND('Species Data'!F55,"AAAAAB/f/uE=")</f>
        <v>#VALUE!</v>
      </c>
      <c r="HS19" t="e">
        <f>AND('Species Data'!G55,"AAAAAB/f/uI=")</f>
        <v>#VALUE!</v>
      </c>
      <c r="HT19" t="e">
        <f>AND('Species Data'!H55,"AAAAAB/f/uM=")</f>
        <v>#VALUE!</v>
      </c>
      <c r="HU19" t="e">
        <f>AND('Species Data'!I55,"AAAAAB/f/uQ=")</f>
        <v>#VALUE!</v>
      </c>
      <c r="HV19" t="e">
        <f>AND('Species Data'!J55,"AAAAAB/f/uU=")</f>
        <v>#VALUE!</v>
      </c>
      <c r="HW19" t="e">
        <f>AND('Species Data'!K55,"AAAAAB/f/uY=")</f>
        <v>#VALUE!</v>
      </c>
      <c r="HX19" t="e">
        <f>AND('Species Data'!L55,"AAAAAB/f/uc=")</f>
        <v>#VALUE!</v>
      </c>
      <c r="HY19" t="e">
        <f>AND('Species Data'!M55,"AAAAAB/f/ug=")</f>
        <v>#VALUE!</v>
      </c>
      <c r="HZ19" t="e">
        <f>AND('Species Data'!N55,"AAAAAB/f/uk=")</f>
        <v>#VALUE!</v>
      </c>
      <c r="IA19" t="e">
        <f>AND('Species Data'!O55,"AAAAAB/f/uo=")</f>
        <v>#VALUE!</v>
      </c>
      <c r="IB19">
        <f>IF('Species Data'!56:56,"AAAAAB/f/us=",0)</f>
        <v>0</v>
      </c>
      <c r="IC19" t="e">
        <f>AND('Species Data'!A56,"AAAAAB/f/uw=")</f>
        <v>#VALUE!</v>
      </c>
      <c r="ID19" t="e">
        <f>AND('Species Data'!B56,"AAAAAB/f/u0=")</f>
        <v>#VALUE!</v>
      </c>
      <c r="IE19" t="e">
        <f>AND('Species Data'!C56,"AAAAAB/f/u4=")</f>
        <v>#VALUE!</v>
      </c>
      <c r="IF19" t="e">
        <f>AND('Species Data'!D56,"AAAAAB/f/u8=")</f>
        <v>#VALUE!</v>
      </c>
      <c r="IG19" t="e">
        <f>AND('Species Data'!E56,"AAAAAB/f/vA=")</f>
        <v>#VALUE!</v>
      </c>
      <c r="IH19" t="e">
        <f>AND('Species Data'!F56,"AAAAAB/f/vE=")</f>
        <v>#VALUE!</v>
      </c>
      <c r="II19" t="e">
        <f>AND('Species Data'!G56,"AAAAAB/f/vI=")</f>
        <v>#VALUE!</v>
      </c>
      <c r="IJ19" t="e">
        <f>AND('Species Data'!H56,"AAAAAB/f/vM=")</f>
        <v>#VALUE!</v>
      </c>
      <c r="IK19" t="e">
        <f>AND('Species Data'!I56,"AAAAAB/f/vQ=")</f>
        <v>#VALUE!</v>
      </c>
      <c r="IL19" t="e">
        <f>AND('Species Data'!J56,"AAAAAB/f/vU=")</f>
        <v>#VALUE!</v>
      </c>
      <c r="IM19" t="e">
        <f>AND('Species Data'!K56,"AAAAAB/f/vY=")</f>
        <v>#VALUE!</v>
      </c>
      <c r="IN19" t="e">
        <f>AND('Species Data'!L56,"AAAAAB/f/vc=")</f>
        <v>#VALUE!</v>
      </c>
      <c r="IO19" t="e">
        <f>AND('Species Data'!M56,"AAAAAB/f/vg=")</f>
        <v>#VALUE!</v>
      </c>
      <c r="IP19" t="e">
        <f>AND('Species Data'!N56,"AAAAAB/f/vk=")</f>
        <v>#VALUE!</v>
      </c>
      <c r="IQ19" t="e">
        <f>AND('Species Data'!O56,"AAAAAB/f/vo=")</f>
        <v>#VALUE!</v>
      </c>
      <c r="IR19">
        <f>IF('Species Data'!57:57,"AAAAAB/f/vs=",0)</f>
        <v>0</v>
      </c>
      <c r="IS19" t="e">
        <f>AND('Species Data'!A57,"AAAAAB/f/vw=")</f>
        <v>#VALUE!</v>
      </c>
      <c r="IT19" t="e">
        <f>AND('Species Data'!B57,"AAAAAB/f/v0=")</f>
        <v>#VALUE!</v>
      </c>
      <c r="IU19" t="e">
        <f>AND('Species Data'!C57,"AAAAAB/f/v4=")</f>
        <v>#VALUE!</v>
      </c>
      <c r="IV19" t="e">
        <f>AND('Species Data'!D57,"AAAAAB/f/v8=")</f>
        <v>#VALUE!</v>
      </c>
    </row>
    <row r="20" spans="1:256">
      <c r="A20" t="e">
        <f>AND('Species Data'!E57,"AAAAAH1H/gA=")</f>
        <v>#VALUE!</v>
      </c>
      <c r="B20" t="e">
        <f>AND('Species Data'!F57,"AAAAAH1H/gE=")</f>
        <v>#VALUE!</v>
      </c>
      <c r="C20" t="e">
        <f>AND('Species Data'!G57,"AAAAAH1H/gI=")</f>
        <v>#VALUE!</v>
      </c>
      <c r="D20" t="e">
        <f>AND('Species Data'!H57,"AAAAAH1H/gM=")</f>
        <v>#VALUE!</v>
      </c>
      <c r="E20" t="e">
        <f>AND('Species Data'!I57,"AAAAAH1H/gQ=")</f>
        <v>#VALUE!</v>
      </c>
      <c r="F20" t="e">
        <f>AND('Species Data'!J57,"AAAAAH1H/gU=")</f>
        <v>#VALUE!</v>
      </c>
      <c r="G20" t="e">
        <f>AND('Species Data'!K57,"AAAAAH1H/gY=")</f>
        <v>#VALUE!</v>
      </c>
      <c r="H20" t="e">
        <f>AND('Species Data'!L57,"AAAAAH1H/gc=")</f>
        <v>#VALUE!</v>
      </c>
      <c r="I20" t="e">
        <f>AND('Species Data'!M57,"AAAAAH1H/gg=")</f>
        <v>#VALUE!</v>
      </c>
      <c r="J20" t="e">
        <f>AND('Species Data'!N57,"AAAAAH1H/gk=")</f>
        <v>#VALUE!</v>
      </c>
      <c r="K20" t="e">
        <f>AND('Species Data'!O57,"AAAAAH1H/go=")</f>
        <v>#VALUE!</v>
      </c>
      <c r="L20">
        <f>IF('Species Data'!58:58,"AAAAAH1H/gs=",0)</f>
        <v>0</v>
      </c>
      <c r="M20" t="e">
        <f>AND('Species Data'!A58,"AAAAAH1H/gw=")</f>
        <v>#VALUE!</v>
      </c>
      <c r="N20" t="e">
        <f>AND('Species Data'!B58,"AAAAAH1H/g0=")</f>
        <v>#VALUE!</v>
      </c>
      <c r="O20" t="e">
        <f>AND('Species Data'!C58,"AAAAAH1H/g4=")</f>
        <v>#VALUE!</v>
      </c>
      <c r="P20" t="e">
        <f>AND('Species Data'!D58,"AAAAAH1H/g8=")</f>
        <v>#VALUE!</v>
      </c>
      <c r="Q20" t="e">
        <f>AND('Species Data'!E58,"AAAAAH1H/hA=")</f>
        <v>#VALUE!</v>
      </c>
      <c r="R20" t="e">
        <f>AND('Species Data'!F58,"AAAAAH1H/hE=")</f>
        <v>#VALUE!</v>
      </c>
      <c r="S20" t="e">
        <f>AND('Species Data'!G58,"AAAAAH1H/hI=")</f>
        <v>#VALUE!</v>
      </c>
      <c r="T20" t="e">
        <f>AND('Species Data'!H58,"AAAAAH1H/hM=")</f>
        <v>#VALUE!</v>
      </c>
      <c r="U20" t="e">
        <f>AND('Species Data'!I58,"AAAAAH1H/hQ=")</f>
        <v>#VALUE!</v>
      </c>
      <c r="V20" t="e">
        <f>AND('Species Data'!J58,"AAAAAH1H/hU=")</f>
        <v>#VALUE!</v>
      </c>
      <c r="W20" t="e">
        <f>AND('Species Data'!K58,"AAAAAH1H/hY=")</f>
        <v>#VALUE!</v>
      </c>
      <c r="X20" t="e">
        <f>AND('Species Data'!L58,"AAAAAH1H/hc=")</f>
        <v>#VALUE!</v>
      </c>
      <c r="Y20" t="e">
        <f>AND('Species Data'!M58,"AAAAAH1H/hg=")</f>
        <v>#VALUE!</v>
      </c>
      <c r="Z20" t="e">
        <f>AND('Species Data'!N58,"AAAAAH1H/hk=")</f>
        <v>#VALUE!</v>
      </c>
      <c r="AA20" t="e">
        <f>AND('Species Data'!O58,"AAAAAH1H/ho=")</f>
        <v>#VALUE!</v>
      </c>
      <c r="AB20">
        <f>IF('Species Data'!59:59,"AAAAAH1H/hs=",0)</f>
        <v>0</v>
      </c>
      <c r="AC20" t="e">
        <f>AND('Species Data'!A59,"AAAAAH1H/hw=")</f>
        <v>#VALUE!</v>
      </c>
      <c r="AD20" t="e">
        <f>AND('Species Data'!B59,"AAAAAH1H/h0=")</f>
        <v>#VALUE!</v>
      </c>
      <c r="AE20" t="e">
        <f>AND('Species Data'!C59,"AAAAAH1H/h4=")</f>
        <v>#VALUE!</v>
      </c>
      <c r="AF20" t="e">
        <f>AND('Species Data'!D59,"AAAAAH1H/h8=")</f>
        <v>#VALUE!</v>
      </c>
      <c r="AG20" t="e">
        <f>AND('Species Data'!E59,"AAAAAH1H/iA=")</f>
        <v>#VALUE!</v>
      </c>
      <c r="AH20" t="e">
        <f>AND('Species Data'!F59,"AAAAAH1H/iE=")</f>
        <v>#VALUE!</v>
      </c>
      <c r="AI20" t="e">
        <f>AND('Species Data'!G59,"AAAAAH1H/iI=")</f>
        <v>#VALUE!</v>
      </c>
      <c r="AJ20" t="e">
        <f>AND('Species Data'!H59,"AAAAAH1H/iM=")</f>
        <v>#VALUE!</v>
      </c>
      <c r="AK20" t="e">
        <f>AND('Species Data'!I59,"AAAAAH1H/iQ=")</f>
        <v>#VALUE!</v>
      </c>
      <c r="AL20" t="e">
        <f>AND('Species Data'!J59,"AAAAAH1H/iU=")</f>
        <v>#VALUE!</v>
      </c>
      <c r="AM20" t="e">
        <f>AND('Species Data'!K59,"AAAAAH1H/iY=")</f>
        <v>#VALUE!</v>
      </c>
      <c r="AN20" t="e">
        <f>AND('Species Data'!L59,"AAAAAH1H/ic=")</f>
        <v>#VALUE!</v>
      </c>
      <c r="AO20" t="e">
        <f>AND('Species Data'!M59,"AAAAAH1H/ig=")</f>
        <v>#VALUE!</v>
      </c>
      <c r="AP20" t="e">
        <f>AND('Species Data'!N59,"AAAAAH1H/ik=")</f>
        <v>#VALUE!</v>
      </c>
      <c r="AQ20" t="e">
        <f>AND('Species Data'!O59,"AAAAAH1H/io=")</f>
        <v>#VALUE!</v>
      </c>
      <c r="AR20">
        <f>IF('Species Data'!60:60,"AAAAAH1H/is=",0)</f>
        <v>0</v>
      </c>
      <c r="AS20" t="e">
        <f>AND('Species Data'!A60,"AAAAAH1H/iw=")</f>
        <v>#VALUE!</v>
      </c>
      <c r="AT20" t="e">
        <f>AND('Species Data'!B60,"AAAAAH1H/i0=")</f>
        <v>#VALUE!</v>
      </c>
      <c r="AU20" t="e">
        <f>AND('Species Data'!C60,"AAAAAH1H/i4=")</f>
        <v>#VALUE!</v>
      </c>
      <c r="AV20" t="e">
        <f>AND('Species Data'!D60,"AAAAAH1H/i8=")</f>
        <v>#VALUE!</v>
      </c>
      <c r="AW20" t="e">
        <f>AND('Species Data'!E60,"AAAAAH1H/jA=")</f>
        <v>#VALUE!</v>
      </c>
      <c r="AX20" t="e">
        <f>AND('Species Data'!F60,"AAAAAH1H/jE=")</f>
        <v>#VALUE!</v>
      </c>
      <c r="AY20" t="e">
        <f>AND('Species Data'!G60,"AAAAAH1H/jI=")</f>
        <v>#VALUE!</v>
      </c>
      <c r="AZ20" t="e">
        <f>AND('Species Data'!H60,"AAAAAH1H/jM=")</f>
        <v>#VALUE!</v>
      </c>
      <c r="BA20" t="e">
        <f>AND('Species Data'!I60,"AAAAAH1H/jQ=")</f>
        <v>#VALUE!</v>
      </c>
      <c r="BB20" t="e">
        <f>AND('Species Data'!J60,"AAAAAH1H/jU=")</f>
        <v>#VALUE!</v>
      </c>
      <c r="BC20" t="e">
        <f>AND('Species Data'!K60,"AAAAAH1H/jY=")</f>
        <v>#VALUE!</v>
      </c>
      <c r="BD20" t="e">
        <f>AND('Species Data'!L60,"AAAAAH1H/jc=")</f>
        <v>#VALUE!</v>
      </c>
      <c r="BE20" t="e">
        <f>AND('Species Data'!M60,"AAAAAH1H/jg=")</f>
        <v>#VALUE!</v>
      </c>
      <c r="BF20" t="e">
        <f>AND('Species Data'!N60,"AAAAAH1H/jk=")</f>
        <v>#VALUE!</v>
      </c>
      <c r="BG20" t="e">
        <f>AND('Species Data'!O60,"AAAAAH1H/jo=")</f>
        <v>#VALUE!</v>
      </c>
      <c r="BH20">
        <f>IF('Species Data'!61:61,"AAAAAH1H/js=",0)</f>
        <v>0</v>
      </c>
      <c r="BI20" t="e">
        <f>AND('Species Data'!A61,"AAAAAH1H/jw=")</f>
        <v>#VALUE!</v>
      </c>
      <c r="BJ20" t="e">
        <f>AND('Species Data'!B61,"AAAAAH1H/j0=")</f>
        <v>#VALUE!</v>
      </c>
      <c r="BK20" t="e">
        <f>AND('Species Data'!C61,"AAAAAH1H/j4=")</f>
        <v>#VALUE!</v>
      </c>
      <c r="BL20" t="e">
        <f>AND('Species Data'!D61,"AAAAAH1H/j8=")</f>
        <v>#VALUE!</v>
      </c>
      <c r="BM20" t="e">
        <f>AND('Species Data'!E61,"AAAAAH1H/kA=")</f>
        <v>#VALUE!</v>
      </c>
      <c r="BN20" t="e">
        <f>AND('Species Data'!F61,"AAAAAH1H/kE=")</f>
        <v>#VALUE!</v>
      </c>
      <c r="BO20" t="e">
        <f>AND('Species Data'!G61,"AAAAAH1H/kI=")</f>
        <v>#VALUE!</v>
      </c>
      <c r="BP20" t="e">
        <f>AND('Species Data'!H61,"AAAAAH1H/kM=")</f>
        <v>#VALUE!</v>
      </c>
      <c r="BQ20" t="e">
        <f>AND('Species Data'!I61,"AAAAAH1H/kQ=")</f>
        <v>#VALUE!</v>
      </c>
      <c r="BR20" t="e">
        <f>AND('Species Data'!J61,"AAAAAH1H/kU=")</f>
        <v>#VALUE!</v>
      </c>
      <c r="BS20" t="e">
        <f>AND('Species Data'!K61,"AAAAAH1H/kY=")</f>
        <v>#VALUE!</v>
      </c>
      <c r="BT20" t="e">
        <f>AND('Species Data'!L61,"AAAAAH1H/kc=")</f>
        <v>#VALUE!</v>
      </c>
      <c r="BU20" t="e">
        <f>AND('Species Data'!M61,"AAAAAH1H/kg=")</f>
        <v>#VALUE!</v>
      </c>
      <c r="BV20" t="e">
        <f>AND('Species Data'!N61,"AAAAAH1H/kk=")</f>
        <v>#VALUE!</v>
      </c>
      <c r="BW20" t="e">
        <f>AND('Species Data'!O61,"AAAAAH1H/ko=")</f>
        <v>#VALUE!</v>
      </c>
      <c r="BX20">
        <f>IF('Species Data'!62:62,"AAAAAH1H/ks=",0)</f>
        <v>0</v>
      </c>
      <c r="BY20" t="e">
        <f>AND('Species Data'!A62,"AAAAAH1H/kw=")</f>
        <v>#VALUE!</v>
      </c>
      <c r="BZ20" t="e">
        <f>AND('Species Data'!B62,"AAAAAH1H/k0=")</f>
        <v>#VALUE!</v>
      </c>
      <c r="CA20" t="e">
        <f>AND('Species Data'!C62,"AAAAAH1H/k4=")</f>
        <v>#VALUE!</v>
      </c>
      <c r="CB20" t="e">
        <f>AND('Species Data'!D62,"AAAAAH1H/k8=")</f>
        <v>#VALUE!</v>
      </c>
      <c r="CC20" t="e">
        <f>AND('Species Data'!E62,"AAAAAH1H/lA=")</f>
        <v>#VALUE!</v>
      </c>
      <c r="CD20" t="e">
        <f>AND('Species Data'!F62,"AAAAAH1H/lE=")</f>
        <v>#VALUE!</v>
      </c>
      <c r="CE20" t="e">
        <f>AND('Species Data'!G62,"AAAAAH1H/lI=")</f>
        <v>#VALUE!</v>
      </c>
      <c r="CF20" t="e">
        <f>AND('Species Data'!H62,"AAAAAH1H/lM=")</f>
        <v>#VALUE!</v>
      </c>
      <c r="CG20" t="e">
        <f>AND('Species Data'!I62,"AAAAAH1H/lQ=")</f>
        <v>#VALUE!</v>
      </c>
      <c r="CH20" t="e">
        <f>AND('Species Data'!J62,"AAAAAH1H/lU=")</f>
        <v>#VALUE!</v>
      </c>
      <c r="CI20" t="e">
        <f>AND('Species Data'!K62,"AAAAAH1H/lY=")</f>
        <v>#VALUE!</v>
      </c>
      <c r="CJ20" t="e">
        <f>AND('Species Data'!L62,"AAAAAH1H/lc=")</f>
        <v>#VALUE!</v>
      </c>
      <c r="CK20" t="e">
        <f>AND('Species Data'!M62,"AAAAAH1H/lg=")</f>
        <v>#VALUE!</v>
      </c>
      <c r="CL20" t="e">
        <f>AND('Species Data'!N62,"AAAAAH1H/lk=")</f>
        <v>#VALUE!</v>
      </c>
      <c r="CM20" t="e">
        <f>AND('Species Data'!O62,"AAAAAH1H/lo=")</f>
        <v>#VALUE!</v>
      </c>
      <c r="CN20">
        <f>IF('Species Data'!63:63,"AAAAAH1H/ls=",0)</f>
        <v>0</v>
      </c>
      <c r="CO20" t="e">
        <f>AND('Species Data'!A63,"AAAAAH1H/lw=")</f>
        <v>#VALUE!</v>
      </c>
      <c r="CP20" t="e">
        <f>AND('Species Data'!B63,"AAAAAH1H/l0=")</f>
        <v>#VALUE!</v>
      </c>
      <c r="CQ20" t="e">
        <f>AND('Species Data'!C63,"AAAAAH1H/l4=")</f>
        <v>#VALUE!</v>
      </c>
      <c r="CR20" t="e">
        <f>AND('Species Data'!D63,"AAAAAH1H/l8=")</f>
        <v>#VALUE!</v>
      </c>
      <c r="CS20" t="e">
        <f>AND('Species Data'!E63,"AAAAAH1H/mA=")</f>
        <v>#VALUE!</v>
      </c>
      <c r="CT20" t="e">
        <f>AND('Species Data'!F63,"AAAAAH1H/mE=")</f>
        <v>#VALUE!</v>
      </c>
      <c r="CU20" t="e">
        <f>AND('Species Data'!G63,"AAAAAH1H/mI=")</f>
        <v>#VALUE!</v>
      </c>
      <c r="CV20" t="e">
        <f>AND('Species Data'!H63,"AAAAAH1H/mM=")</f>
        <v>#VALUE!</v>
      </c>
      <c r="CW20" t="e">
        <f>AND('Species Data'!I63,"AAAAAH1H/mQ=")</f>
        <v>#VALUE!</v>
      </c>
      <c r="CX20" t="e">
        <f>AND('Species Data'!J63,"AAAAAH1H/mU=")</f>
        <v>#VALUE!</v>
      </c>
      <c r="CY20" t="e">
        <f>AND('Species Data'!K63,"AAAAAH1H/mY=")</f>
        <v>#VALUE!</v>
      </c>
      <c r="CZ20" t="e">
        <f>AND('Species Data'!L63,"AAAAAH1H/mc=")</f>
        <v>#VALUE!</v>
      </c>
      <c r="DA20" t="e">
        <f>AND('Species Data'!M63,"AAAAAH1H/mg=")</f>
        <v>#VALUE!</v>
      </c>
      <c r="DB20" t="e">
        <f>AND('Species Data'!N63,"AAAAAH1H/mk=")</f>
        <v>#VALUE!</v>
      </c>
      <c r="DC20" t="e">
        <f>AND('Species Data'!O63,"AAAAAH1H/mo=")</f>
        <v>#VALUE!</v>
      </c>
      <c r="DD20">
        <f>IF('Species Data'!64:64,"AAAAAH1H/ms=",0)</f>
        <v>0</v>
      </c>
      <c r="DE20" t="e">
        <f>AND('Species Data'!A64,"AAAAAH1H/mw=")</f>
        <v>#VALUE!</v>
      </c>
      <c r="DF20" t="e">
        <f>AND('Species Data'!B64,"AAAAAH1H/m0=")</f>
        <v>#VALUE!</v>
      </c>
      <c r="DG20" t="e">
        <f>AND('Species Data'!C64,"AAAAAH1H/m4=")</f>
        <v>#VALUE!</v>
      </c>
      <c r="DH20" t="e">
        <f>AND('Species Data'!D64,"AAAAAH1H/m8=")</f>
        <v>#VALUE!</v>
      </c>
      <c r="DI20" t="e">
        <f>AND('Species Data'!E64,"AAAAAH1H/nA=")</f>
        <v>#VALUE!</v>
      </c>
      <c r="DJ20" t="e">
        <f>AND('Species Data'!F64,"AAAAAH1H/nE=")</f>
        <v>#VALUE!</v>
      </c>
      <c r="DK20" t="e">
        <f>AND('Species Data'!G64,"AAAAAH1H/nI=")</f>
        <v>#VALUE!</v>
      </c>
      <c r="DL20" t="e">
        <f>AND('Species Data'!H64,"AAAAAH1H/nM=")</f>
        <v>#VALUE!</v>
      </c>
      <c r="DM20" t="e">
        <f>AND('Species Data'!I64,"AAAAAH1H/nQ=")</f>
        <v>#VALUE!</v>
      </c>
      <c r="DN20" t="e">
        <f>AND('Species Data'!J64,"AAAAAH1H/nU=")</f>
        <v>#VALUE!</v>
      </c>
      <c r="DO20" t="e">
        <f>AND('Species Data'!K64,"AAAAAH1H/nY=")</f>
        <v>#VALUE!</v>
      </c>
      <c r="DP20" t="e">
        <f>AND('Species Data'!L64,"AAAAAH1H/nc=")</f>
        <v>#VALUE!</v>
      </c>
      <c r="DQ20" t="e">
        <f>AND('Species Data'!M64,"AAAAAH1H/ng=")</f>
        <v>#VALUE!</v>
      </c>
      <c r="DR20" t="e">
        <f>AND('Species Data'!N64,"AAAAAH1H/nk=")</f>
        <v>#VALUE!</v>
      </c>
      <c r="DS20" t="e">
        <f>AND('Species Data'!O64,"AAAAAH1H/no=")</f>
        <v>#VALUE!</v>
      </c>
      <c r="DT20">
        <f>IF('Species Data'!65:65,"AAAAAH1H/ns=",0)</f>
        <v>0</v>
      </c>
      <c r="DU20" t="e">
        <f>AND('Species Data'!A65,"AAAAAH1H/nw=")</f>
        <v>#VALUE!</v>
      </c>
      <c r="DV20" t="e">
        <f>AND('Species Data'!B65,"AAAAAH1H/n0=")</f>
        <v>#VALUE!</v>
      </c>
      <c r="DW20" t="e">
        <f>AND('Species Data'!C65,"AAAAAH1H/n4=")</f>
        <v>#VALUE!</v>
      </c>
      <c r="DX20" t="e">
        <f>AND('Species Data'!D65,"AAAAAH1H/n8=")</f>
        <v>#VALUE!</v>
      </c>
      <c r="DY20" t="e">
        <f>AND('Species Data'!E65,"AAAAAH1H/oA=")</f>
        <v>#VALUE!</v>
      </c>
      <c r="DZ20" t="e">
        <f>AND('Species Data'!F65,"AAAAAH1H/oE=")</f>
        <v>#VALUE!</v>
      </c>
      <c r="EA20" t="e">
        <f>AND('Species Data'!G65,"AAAAAH1H/oI=")</f>
        <v>#VALUE!</v>
      </c>
      <c r="EB20" t="e">
        <f>AND('Species Data'!H65,"AAAAAH1H/oM=")</f>
        <v>#VALUE!</v>
      </c>
      <c r="EC20" t="e">
        <f>AND('Species Data'!I65,"AAAAAH1H/oQ=")</f>
        <v>#VALUE!</v>
      </c>
      <c r="ED20" t="e">
        <f>AND('Species Data'!J65,"AAAAAH1H/oU=")</f>
        <v>#VALUE!</v>
      </c>
      <c r="EE20" t="e">
        <f>AND('Species Data'!K65,"AAAAAH1H/oY=")</f>
        <v>#VALUE!</v>
      </c>
      <c r="EF20" t="e">
        <f>AND('Species Data'!L65,"AAAAAH1H/oc=")</f>
        <v>#VALUE!</v>
      </c>
      <c r="EG20" t="e">
        <f>AND('Species Data'!M65,"AAAAAH1H/og=")</f>
        <v>#VALUE!</v>
      </c>
      <c r="EH20" t="e">
        <f>AND('Species Data'!N65,"AAAAAH1H/ok=")</f>
        <v>#VALUE!</v>
      </c>
      <c r="EI20" t="e">
        <f>AND('Species Data'!O65,"AAAAAH1H/oo=")</f>
        <v>#VALUE!</v>
      </c>
      <c r="EJ20">
        <f>IF('Species Data'!66:66,"AAAAAH1H/os=",0)</f>
        <v>0</v>
      </c>
      <c r="EK20" t="e">
        <f>AND('Species Data'!A66,"AAAAAH1H/ow=")</f>
        <v>#VALUE!</v>
      </c>
      <c r="EL20" t="e">
        <f>AND('Species Data'!B66,"AAAAAH1H/o0=")</f>
        <v>#VALUE!</v>
      </c>
      <c r="EM20" t="e">
        <f>AND('Species Data'!C66,"AAAAAH1H/o4=")</f>
        <v>#VALUE!</v>
      </c>
      <c r="EN20" t="e">
        <f>AND('Species Data'!D66,"AAAAAH1H/o8=")</f>
        <v>#VALUE!</v>
      </c>
      <c r="EO20" t="e">
        <f>AND('Species Data'!E66,"AAAAAH1H/pA=")</f>
        <v>#VALUE!</v>
      </c>
      <c r="EP20" t="e">
        <f>AND('Species Data'!F66,"AAAAAH1H/pE=")</f>
        <v>#VALUE!</v>
      </c>
      <c r="EQ20" t="e">
        <f>AND('Species Data'!G66,"AAAAAH1H/pI=")</f>
        <v>#VALUE!</v>
      </c>
      <c r="ER20" t="e">
        <f>AND('Species Data'!H66,"AAAAAH1H/pM=")</f>
        <v>#VALUE!</v>
      </c>
      <c r="ES20" t="e">
        <f>AND('Species Data'!I66,"AAAAAH1H/pQ=")</f>
        <v>#VALUE!</v>
      </c>
      <c r="ET20" t="e">
        <f>AND('Species Data'!J66,"AAAAAH1H/pU=")</f>
        <v>#VALUE!</v>
      </c>
      <c r="EU20" t="e">
        <f>AND('Species Data'!K66,"AAAAAH1H/pY=")</f>
        <v>#VALUE!</v>
      </c>
      <c r="EV20" t="e">
        <f>AND('Species Data'!L66,"AAAAAH1H/pc=")</f>
        <v>#VALUE!</v>
      </c>
      <c r="EW20" t="e">
        <f>AND('Species Data'!M66,"AAAAAH1H/pg=")</f>
        <v>#VALUE!</v>
      </c>
      <c r="EX20" t="e">
        <f>AND('Species Data'!N66,"AAAAAH1H/pk=")</f>
        <v>#VALUE!</v>
      </c>
      <c r="EY20" t="e">
        <f>AND('Species Data'!O66,"AAAAAH1H/po=")</f>
        <v>#VALUE!</v>
      </c>
      <c r="EZ20">
        <f>IF('Species Data'!67:67,"AAAAAH1H/ps=",0)</f>
        <v>0</v>
      </c>
      <c r="FA20" t="e">
        <f>AND('Species Data'!A67,"AAAAAH1H/pw=")</f>
        <v>#VALUE!</v>
      </c>
      <c r="FB20" t="e">
        <f>AND('Species Data'!B67,"AAAAAH1H/p0=")</f>
        <v>#VALUE!</v>
      </c>
      <c r="FC20" t="e">
        <f>AND('Species Data'!C67,"AAAAAH1H/p4=")</f>
        <v>#VALUE!</v>
      </c>
      <c r="FD20" t="e">
        <f>AND('Species Data'!D67,"AAAAAH1H/p8=")</f>
        <v>#VALUE!</v>
      </c>
      <c r="FE20" t="e">
        <f>AND('Species Data'!E67,"AAAAAH1H/qA=")</f>
        <v>#VALUE!</v>
      </c>
      <c r="FF20" t="e">
        <f>AND('Species Data'!F67,"AAAAAH1H/qE=")</f>
        <v>#VALUE!</v>
      </c>
      <c r="FG20" t="e">
        <f>AND('Species Data'!G67,"AAAAAH1H/qI=")</f>
        <v>#VALUE!</v>
      </c>
      <c r="FH20" t="e">
        <f>AND('Species Data'!H67,"AAAAAH1H/qM=")</f>
        <v>#VALUE!</v>
      </c>
      <c r="FI20" t="e">
        <f>AND('Species Data'!I67,"AAAAAH1H/qQ=")</f>
        <v>#VALUE!</v>
      </c>
      <c r="FJ20" t="e">
        <f>AND('Species Data'!J67,"AAAAAH1H/qU=")</f>
        <v>#VALUE!</v>
      </c>
      <c r="FK20" t="e">
        <f>AND('Species Data'!K67,"AAAAAH1H/qY=")</f>
        <v>#VALUE!</v>
      </c>
      <c r="FL20" t="e">
        <f>AND('Species Data'!L67,"AAAAAH1H/qc=")</f>
        <v>#VALUE!</v>
      </c>
      <c r="FM20" t="e">
        <f>AND('Species Data'!M67,"AAAAAH1H/qg=")</f>
        <v>#VALUE!</v>
      </c>
      <c r="FN20" t="e">
        <f>AND('Species Data'!N67,"AAAAAH1H/qk=")</f>
        <v>#VALUE!</v>
      </c>
      <c r="FO20" t="e">
        <f>AND('Species Data'!O67,"AAAAAH1H/qo=")</f>
        <v>#VALUE!</v>
      </c>
      <c r="FP20">
        <f>IF('Species Data'!68:68,"AAAAAH1H/qs=",0)</f>
        <v>0</v>
      </c>
      <c r="FQ20" t="e">
        <f>AND('Species Data'!A68,"AAAAAH1H/qw=")</f>
        <v>#VALUE!</v>
      </c>
      <c r="FR20" t="e">
        <f>AND('Species Data'!B68,"AAAAAH1H/q0=")</f>
        <v>#VALUE!</v>
      </c>
      <c r="FS20" t="e">
        <f>AND('Species Data'!C68,"AAAAAH1H/q4=")</f>
        <v>#VALUE!</v>
      </c>
      <c r="FT20" t="e">
        <f>AND('Species Data'!D68,"AAAAAH1H/q8=")</f>
        <v>#VALUE!</v>
      </c>
      <c r="FU20" t="e">
        <f>AND('Species Data'!E68,"AAAAAH1H/rA=")</f>
        <v>#VALUE!</v>
      </c>
      <c r="FV20" t="e">
        <f>AND('Species Data'!F68,"AAAAAH1H/rE=")</f>
        <v>#VALUE!</v>
      </c>
      <c r="FW20" t="e">
        <f>AND('Species Data'!G68,"AAAAAH1H/rI=")</f>
        <v>#VALUE!</v>
      </c>
      <c r="FX20" t="e">
        <f>AND('Species Data'!H68,"AAAAAH1H/rM=")</f>
        <v>#VALUE!</v>
      </c>
      <c r="FY20" t="e">
        <f>AND('Species Data'!I68,"AAAAAH1H/rQ=")</f>
        <v>#VALUE!</v>
      </c>
      <c r="FZ20" t="e">
        <f>AND('Species Data'!J68,"AAAAAH1H/rU=")</f>
        <v>#VALUE!</v>
      </c>
      <c r="GA20" t="e">
        <f>AND('Species Data'!K68,"AAAAAH1H/rY=")</f>
        <v>#VALUE!</v>
      </c>
      <c r="GB20" t="e">
        <f>AND('Species Data'!L68,"AAAAAH1H/rc=")</f>
        <v>#VALUE!</v>
      </c>
      <c r="GC20" t="e">
        <f>AND('Species Data'!M68,"AAAAAH1H/rg=")</f>
        <v>#VALUE!</v>
      </c>
      <c r="GD20" t="e">
        <f>AND('Species Data'!N68,"AAAAAH1H/rk=")</f>
        <v>#VALUE!</v>
      </c>
      <c r="GE20" t="e">
        <f>AND('Species Data'!O68,"AAAAAH1H/ro=")</f>
        <v>#VALUE!</v>
      </c>
      <c r="GF20">
        <f>IF('Species Data'!69:69,"AAAAAH1H/rs=",0)</f>
        <v>0</v>
      </c>
      <c r="GG20" t="e">
        <f>AND('Species Data'!A69,"AAAAAH1H/rw=")</f>
        <v>#VALUE!</v>
      </c>
      <c r="GH20" t="e">
        <f>AND('Species Data'!B69,"AAAAAH1H/r0=")</f>
        <v>#VALUE!</v>
      </c>
      <c r="GI20" t="e">
        <f>AND('Species Data'!C69,"AAAAAH1H/r4=")</f>
        <v>#VALUE!</v>
      </c>
      <c r="GJ20" t="e">
        <f>AND('Species Data'!D69,"AAAAAH1H/r8=")</f>
        <v>#VALUE!</v>
      </c>
      <c r="GK20" t="e">
        <f>AND('Species Data'!E69,"AAAAAH1H/sA=")</f>
        <v>#VALUE!</v>
      </c>
      <c r="GL20" t="e">
        <f>AND('Species Data'!F69,"AAAAAH1H/sE=")</f>
        <v>#VALUE!</v>
      </c>
      <c r="GM20" t="e">
        <f>AND('Species Data'!G69,"AAAAAH1H/sI=")</f>
        <v>#VALUE!</v>
      </c>
      <c r="GN20" t="e">
        <f>AND('Species Data'!H69,"AAAAAH1H/sM=")</f>
        <v>#VALUE!</v>
      </c>
      <c r="GO20" t="e">
        <f>AND('Species Data'!I69,"AAAAAH1H/sQ=")</f>
        <v>#VALUE!</v>
      </c>
      <c r="GP20" t="e">
        <f>AND('Species Data'!J69,"AAAAAH1H/sU=")</f>
        <v>#VALUE!</v>
      </c>
      <c r="GQ20" t="e">
        <f>AND('Species Data'!K69,"AAAAAH1H/sY=")</f>
        <v>#VALUE!</v>
      </c>
      <c r="GR20" t="e">
        <f>AND('Species Data'!L69,"AAAAAH1H/sc=")</f>
        <v>#VALUE!</v>
      </c>
      <c r="GS20" t="e">
        <f>AND('Species Data'!M69,"AAAAAH1H/sg=")</f>
        <v>#VALUE!</v>
      </c>
      <c r="GT20" t="e">
        <f>AND('Species Data'!N69,"AAAAAH1H/sk=")</f>
        <v>#VALUE!</v>
      </c>
      <c r="GU20" t="e">
        <f>AND('Species Data'!O69,"AAAAAH1H/so=")</f>
        <v>#VALUE!</v>
      </c>
      <c r="GV20">
        <f>IF('Species Data'!70:70,"AAAAAH1H/ss=",0)</f>
        <v>0</v>
      </c>
      <c r="GW20" t="e">
        <f>AND('Species Data'!A70,"AAAAAH1H/sw=")</f>
        <v>#VALUE!</v>
      </c>
      <c r="GX20" t="e">
        <f>AND('Species Data'!B70,"AAAAAH1H/s0=")</f>
        <v>#VALUE!</v>
      </c>
      <c r="GY20" t="e">
        <f>AND('Species Data'!C70,"AAAAAH1H/s4=")</f>
        <v>#VALUE!</v>
      </c>
      <c r="GZ20" t="e">
        <f>AND('Species Data'!D70,"AAAAAH1H/s8=")</f>
        <v>#VALUE!</v>
      </c>
      <c r="HA20" t="e">
        <f>AND('Species Data'!E70,"AAAAAH1H/tA=")</f>
        <v>#VALUE!</v>
      </c>
      <c r="HB20" t="e">
        <f>AND('Species Data'!F70,"AAAAAH1H/tE=")</f>
        <v>#VALUE!</v>
      </c>
      <c r="HC20" t="e">
        <f>AND('Species Data'!G70,"AAAAAH1H/tI=")</f>
        <v>#VALUE!</v>
      </c>
      <c r="HD20" t="e">
        <f>AND('Species Data'!H70,"AAAAAH1H/tM=")</f>
        <v>#VALUE!</v>
      </c>
      <c r="HE20" t="e">
        <f>AND('Species Data'!I70,"AAAAAH1H/tQ=")</f>
        <v>#VALUE!</v>
      </c>
      <c r="HF20" t="e">
        <f>AND('Species Data'!J70,"AAAAAH1H/tU=")</f>
        <v>#VALUE!</v>
      </c>
      <c r="HG20" t="e">
        <f>AND('Species Data'!K70,"AAAAAH1H/tY=")</f>
        <v>#VALUE!</v>
      </c>
      <c r="HH20" t="e">
        <f>AND('Species Data'!L70,"AAAAAH1H/tc=")</f>
        <v>#VALUE!</v>
      </c>
      <c r="HI20" t="e">
        <f>AND('Species Data'!M70,"AAAAAH1H/tg=")</f>
        <v>#VALUE!</v>
      </c>
      <c r="HJ20" t="e">
        <f>AND('Species Data'!N70,"AAAAAH1H/tk=")</f>
        <v>#VALUE!</v>
      </c>
      <c r="HK20" t="e">
        <f>AND('Species Data'!O70,"AAAAAH1H/to=")</f>
        <v>#VALUE!</v>
      </c>
      <c r="HL20">
        <f>IF('Species Data'!71:71,"AAAAAH1H/ts=",0)</f>
        <v>0</v>
      </c>
      <c r="HM20" t="e">
        <f>AND('Species Data'!A71,"AAAAAH1H/tw=")</f>
        <v>#VALUE!</v>
      </c>
      <c r="HN20" t="e">
        <f>AND('Species Data'!B71,"AAAAAH1H/t0=")</f>
        <v>#VALUE!</v>
      </c>
      <c r="HO20" t="e">
        <f>AND('Species Data'!C71,"AAAAAH1H/t4=")</f>
        <v>#VALUE!</v>
      </c>
      <c r="HP20" t="e">
        <f>AND('Species Data'!D71,"AAAAAH1H/t8=")</f>
        <v>#VALUE!</v>
      </c>
      <c r="HQ20" t="e">
        <f>AND('Species Data'!E71,"AAAAAH1H/uA=")</f>
        <v>#VALUE!</v>
      </c>
      <c r="HR20" t="e">
        <f>AND('Species Data'!F71,"AAAAAH1H/uE=")</f>
        <v>#VALUE!</v>
      </c>
      <c r="HS20" t="e">
        <f>AND('Species Data'!G71,"AAAAAH1H/uI=")</f>
        <v>#VALUE!</v>
      </c>
      <c r="HT20" t="e">
        <f>AND('Species Data'!H71,"AAAAAH1H/uM=")</f>
        <v>#VALUE!</v>
      </c>
      <c r="HU20" t="e">
        <f>AND('Species Data'!I71,"AAAAAH1H/uQ=")</f>
        <v>#VALUE!</v>
      </c>
      <c r="HV20" t="e">
        <f>AND('Species Data'!J71,"AAAAAH1H/uU=")</f>
        <v>#VALUE!</v>
      </c>
      <c r="HW20" t="e">
        <f>AND('Species Data'!K71,"AAAAAH1H/uY=")</f>
        <v>#VALUE!</v>
      </c>
      <c r="HX20" t="e">
        <f>AND('Species Data'!L71,"AAAAAH1H/uc=")</f>
        <v>#VALUE!</v>
      </c>
      <c r="HY20" t="e">
        <f>AND('Species Data'!M71,"AAAAAH1H/ug=")</f>
        <v>#VALUE!</v>
      </c>
      <c r="HZ20" t="e">
        <f>AND('Species Data'!N71,"AAAAAH1H/uk=")</f>
        <v>#VALUE!</v>
      </c>
      <c r="IA20" t="e">
        <f>AND('Species Data'!O71,"AAAAAH1H/uo=")</f>
        <v>#VALUE!</v>
      </c>
      <c r="IB20">
        <f>IF('Species Data'!72:72,"AAAAAH1H/us=",0)</f>
        <v>0</v>
      </c>
      <c r="IC20" t="e">
        <f>AND('Species Data'!A72,"AAAAAH1H/uw=")</f>
        <v>#VALUE!</v>
      </c>
      <c r="ID20" t="e">
        <f>AND('Species Data'!B72,"AAAAAH1H/u0=")</f>
        <v>#VALUE!</v>
      </c>
      <c r="IE20" t="e">
        <f>AND('Species Data'!C72,"AAAAAH1H/u4=")</f>
        <v>#VALUE!</v>
      </c>
      <c r="IF20" t="e">
        <f>AND('Species Data'!D72,"AAAAAH1H/u8=")</f>
        <v>#VALUE!</v>
      </c>
      <c r="IG20" t="e">
        <f>AND('Species Data'!E72,"AAAAAH1H/vA=")</f>
        <v>#VALUE!</v>
      </c>
      <c r="IH20" t="e">
        <f>AND('Species Data'!F72,"AAAAAH1H/vE=")</f>
        <v>#VALUE!</v>
      </c>
      <c r="II20" t="e">
        <f>AND('Species Data'!G72,"AAAAAH1H/vI=")</f>
        <v>#VALUE!</v>
      </c>
      <c r="IJ20" t="e">
        <f>AND('Species Data'!H72,"AAAAAH1H/vM=")</f>
        <v>#VALUE!</v>
      </c>
      <c r="IK20" t="e">
        <f>AND('Species Data'!I72,"AAAAAH1H/vQ=")</f>
        <v>#VALUE!</v>
      </c>
      <c r="IL20" t="e">
        <f>AND('Species Data'!J72,"AAAAAH1H/vU=")</f>
        <v>#VALUE!</v>
      </c>
      <c r="IM20" t="e">
        <f>AND('Species Data'!K72,"AAAAAH1H/vY=")</f>
        <v>#VALUE!</v>
      </c>
      <c r="IN20" t="e">
        <f>AND('Species Data'!L72,"AAAAAH1H/vc=")</f>
        <v>#VALUE!</v>
      </c>
      <c r="IO20" t="e">
        <f>AND('Species Data'!M72,"AAAAAH1H/vg=")</f>
        <v>#VALUE!</v>
      </c>
      <c r="IP20" t="e">
        <f>AND('Species Data'!N72,"AAAAAH1H/vk=")</f>
        <v>#VALUE!</v>
      </c>
      <c r="IQ20" t="e">
        <f>AND('Species Data'!O72,"AAAAAH1H/vo=")</f>
        <v>#VALUE!</v>
      </c>
      <c r="IR20">
        <f>IF('Species Data'!73:73,"AAAAAH1H/vs=",0)</f>
        <v>0</v>
      </c>
      <c r="IS20" t="e">
        <f>AND('Species Data'!A73,"AAAAAH1H/vw=")</f>
        <v>#VALUE!</v>
      </c>
      <c r="IT20" t="e">
        <f>AND('Species Data'!B73,"AAAAAH1H/v0=")</f>
        <v>#VALUE!</v>
      </c>
      <c r="IU20" t="e">
        <f>AND('Species Data'!C73,"AAAAAH1H/v4=")</f>
        <v>#VALUE!</v>
      </c>
      <c r="IV20" t="e">
        <f>AND('Species Data'!D73,"AAAAAH1H/v8=")</f>
        <v>#VALUE!</v>
      </c>
    </row>
    <row r="21" spans="1:256">
      <c r="A21" t="e">
        <f>AND('Species Data'!E73,"AAAAAHPe5wA=")</f>
        <v>#VALUE!</v>
      </c>
      <c r="B21" t="e">
        <f>AND('Species Data'!F73,"AAAAAHPe5wE=")</f>
        <v>#VALUE!</v>
      </c>
      <c r="C21" t="e">
        <f>AND('Species Data'!G73,"AAAAAHPe5wI=")</f>
        <v>#VALUE!</v>
      </c>
      <c r="D21" t="e">
        <f>AND('Species Data'!H73,"AAAAAHPe5wM=")</f>
        <v>#VALUE!</v>
      </c>
      <c r="E21" t="e">
        <f>AND('Species Data'!I73,"AAAAAHPe5wQ=")</f>
        <v>#VALUE!</v>
      </c>
      <c r="F21" t="e">
        <f>AND('Species Data'!J73,"AAAAAHPe5wU=")</f>
        <v>#VALUE!</v>
      </c>
      <c r="G21" t="e">
        <f>AND('Species Data'!K73,"AAAAAHPe5wY=")</f>
        <v>#VALUE!</v>
      </c>
      <c r="H21" t="e">
        <f>AND('Species Data'!L73,"AAAAAHPe5wc=")</f>
        <v>#VALUE!</v>
      </c>
      <c r="I21" t="e">
        <f>AND('Species Data'!M73,"AAAAAHPe5wg=")</f>
        <v>#VALUE!</v>
      </c>
      <c r="J21" t="e">
        <f>AND('Species Data'!N73,"AAAAAHPe5wk=")</f>
        <v>#VALUE!</v>
      </c>
      <c r="K21" t="e">
        <f>AND('Species Data'!O73,"AAAAAHPe5wo=")</f>
        <v>#VALUE!</v>
      </c>
      <c r="L21" t="str">
        <f>IF('Species Data'!74:74,"AAAAAHPe5ws=",0)</f>
        <v>AAAAAHPe5ws=</v>
      </c>
      <c r="M21" t="e">
        <f>AND('Species Data'!A74,"AAAAAHPe5ww=")</f>
        <v>#VALUE!</v>
      </c>
      <c r="N21" t="e">
        <f>AND('Species Data'!B74,"AAAAAHPe5w0=")</f>
        <v>#VALUE!</v>
      </c>
      <c r="O21" t="e">
        <f>AND('Species Data'!C74,"AAAAAHPe5w4=")</f>
        <v>#VALUE!</v>
      </c>
      <c r="P21" t="e">
        <f>AND('Species Data'!D74,"AAAAAHPe5w8=")</f>
        <v>#VALUE!</v>
      </c>
      <c r="Q21" t="e">
        <f>AND('Species Data'!E74,"AAAAAHPe5xA=")</f>
        <v>#VALUE!</v>
      </c>
      <c r="R21" t="e">
        <f>AND('Species Data'!F74,"AAAAAHPe5xE=")</f>
        <v>#VALUE!</v>
      </c>
      <c r="S21" t="e">
        <f>AND('Species Data'!G74,"AAAAAHPe5xI=")</f>
        <v>#VALUE!</v>
      </c>
      <c r="T21" t="e">
        <f>AND('Species Data'!H74,"AAAAAHPe5xM=")</f>
        <v>#VALUE!</v>
      </c>
      <c r="U21" t="e">
        <f>AND('Species Data'!I74,"AAAAAHPe5xQ=")</f>
        <v>#VALUE!</v>
      </c>
      <c r="V21" t="e">
        <f>AND('Species Data'!J74,"AAAAAHPe5xU=")</f>
        <v>#VALUE!</v>
      </c>
      <c r="W21" t="e">
        <f>AND('Species Data'!K74,"AAAAAHPe5xY=")</f>
        <v>#VALUE!</v>
      </c>
      <c r="X21" t="e">
        <f>AND('Species Data'!L74,"AAAAAHPe5xc=")</f>
        <v>#VALUE!</v>
      </c>
      <c r="Y21" t="e">
        <f>AND('Species Data'!M74,"AAAAAHPe5xg=")</f>
        <v>#VALUE!</v>
      </c>
      <c r="Z21" t="e">
        <f>AND('Species Data'!N74,"AAAAAHPe5xk=")</f>
        <v>#VALUE!</v>
      </c>
      <c r="AA21" t="e">
        <f>AND('Species Data'!O74,"AAAAAHPe5xo=")</f>
        <v>#VALUE!</v>
      </c>
      <c r="AB21">
        <f>IF('Species Data'!75:75,"AAAAAHPe5xs=",0)</f>
        <v>0</v>
      </c>
      <c r="AC21" t="e">
        <f>AND('Species Data'!A75,"AAAAAHPe5xw=")</f>
        <v>#VALUE!</v>
      </c>
      <c r="AD21" t="e">
        <f>AND('Species Data'!B75,"AAAAAHPe5x0=")</f>
        <v>#VALUE!</v>
      </c>
      <c r="AE21" t="e">
        <f>AND('Species Data'!C75,"AAAAAHPe5x4=")</f>
        <v>#VALUE!</v>
      </c>
      <c r="AF21" t="e">
        <f>AND('Species Data'!D75,"AAAAAHPe5x8=")</f>
        <v>#VALUE!</v>
      </c>
      <c r="AG21" t="e">
        <f>AND('Species Data'!E75,"AAAAAHPe5yA=")</f>
        <v>#VALUE!</v>
      </c>
      <c r="AH21" t="e">
        <f>AND('Species Data'!F75,"AAAAAHPe5yE=")</f>
        <v>#VALUE!</v>
      </c>
      <c r="AI21" t="e">
        <f>AND('Species Data'!G75,"AAAAAHPe5yI=")</f>
        <v>#VALUE!</v>
      </c>
      <c r="AJ21" t="e">
        <f>AND('Species Data'!H75,"AAAAAHPe5yM=")</f>
        <v>#VALUE!</v>
      </c>
      <c r="AK21" t="e">
        <f>AND('Species Data'!I75,"AAAAAHPe5yQ=")</f>
        <v>#VALUE!</v>
      </c>
      <c r="AL21" t="e">
        <f>AND('Species Data'!J75,"AAAAAHPe5yU=")</f>
        <v>#VALUE!</v>
      </c>
      <c r="AM21" t="e">
        <f>AND('Species Data'!K75,"AAAAAHPe5yY=")</f>
        <v>#VALUE!</v>
      </c>
      <c r="AN21" t="e">
        <f>AND('Species Data'!L75,"AAAAAHPe5yc=")</f>
        <v>#VALUE!</v>
      </c>
      <c r="AO21" t="e">
        <f>AND('Species Data'!M75,"AAAAAHPe5yg=")</f>
        <v>#VALUE!</v>
      </c>
      <c r="AP21" t="e">
        <f>AND('Species Data'!N75,"AAAAAHPe5yk=")</f>
        <v>#VALUE!</v>
      </c>
      <c r="AQ21" t="e">
        <f>AND('Species Data'!O75,"AAAAAHPe5yo=")</f>
        <v>#VALUE!</v>
      </c>
      <c r="AR21">
        <f>IF('Species Data'!76:76,"AAAAAHPe5ys=",0)</f>
        <v>0</v>
      </c>
      <c r="AS21" t="e">
        <f>AND('Species Data'!A76,"AAAAAHPe5yw=")</f>
        <v>#VALUE!</v>
      </c>
      <c r="AT21" t="e">
        <f>AND('Species Data'!B76,"AAAAAHPe5y0=")</f>
        <v>#VALUE!</v>
      </c>
      <c r="AU21" t="e">
        <f>AND('Species Data'!C76,"AAAAAHPe5y4=")</f>
        <v>#VALUE!</v>
      </c>
      <c r="AV21" t="e">
        <f>AND('Species Data'!D76,"AAAAAHPe5y8=")</f>
        <v>#VALUE!</v>
      </c>
      <c r="AW21" t="e">
        <f>AND('Species Data'!E76,"AAAAAHPe5zA=")</f>
        <v>#VALUE!</v>
      </c>
      <c r="AX21" t="e">
        <f>AND('Species Data'!F76,"AAAAAHPe5zE=")</f>
        <v>#VALUE!</v>
      </c>
      <c r="AY21" t="e">
        <f>AND('Species Data'!G76,"AAAAAHPe5zI=")</f>
        <v>#VALUE!</v>
      </c>
      <c r="AZ21" t="e">
        <f>AND('Species Data'!H76,"AAAAAHPe5zM=")</f>
        <v>#VALUE!</v>
      </c>
      <c r="BA21" t="e">
        <f>AND('Species Data'!I76,"AAAAAHPe5zQ=")</f>
        <v>#VALUE!</v>
      </c>
      <c r="BB21" t="e">
        <f>AND('Species Data'!J76,"AAAAAHPe5zU=")</f>
        <v>#VALUE!</v>
      </c>
      <c r="BC21" t="e">
        <f>AND('Species Data'!K76,"AAAAAHPe5zY=")</f>
        <v>#VALUE!</v>
      </c>
      <c r="BD21" t="e">
        <f>AND('Species Data'!L76,"AAAAAHPe5zc=")</f>
        <v>#VALUE!</v>
      </c>
      <c r="BE21" t="e">
        <f>AND('Species Data'!M76,"AAAAAHPe5zg=")</f>
        <v>#VALUE!</v>
      </c>
      <c r="BF21" t="e">
        <f>AND('Species Data'!N76,"AAAAAHPe5zk=")</f>
        <v>#VALUE!</v>
      </c>
      <c r="BG21" t="e">
        <f>AND('Species Data'!O76,"AAAAAHPe5zo=")</f>
        <v>#VALUE!</v>
      </c>
      <c r="BH21">
        <f>IF('Species Data'!77:77,"AAAAAHPe5zs=",0)</f>
        <v>0</v>
      </c>
      <c r="BI21" t="e">
        <f>AND('Species Data'!A77,"AAAAAHPe5zw=")</f>
        <v>#VALUE!</v>
      </c>
      <c r="BJ21" t="e">
        <f>AND('Species Data'!B77,"AAAAAHPe5z0=")</f>
        <v>#VALUE!</v>
      </c>
      <c r="BK21" t="e">
        <f>AND('Species Data'!C77,"AAAAAHPe5z4=")</f>
        <v>#VALUE!</v>
      </c>
      <c r="BL21" t="e">
        <f>AND('Species Data'!D77,"AAAAAHPe5z8=")</f>
        <v>#VALUE!</v>
      </c>
      <c r="BM21" t="e">
        <f>AND('Species Data'!E77,"AAAAAHPe50A=")</f>
        <v>#VALUE!</v>
      </c>
      <c r="BN21" t="e">
        <f>AND('Species Data'!F77,"AAAAAHPe50E=")</f>
        <v>#VALUE!</v>
      </c>
      <c r="BO21" t="e">
        <f>AND('Species Data'!G77,"AAAAAHPe50I=")</f>
        <v>#VALUE!</v>
      </c>
      <c r="BP21" t="e">
        <f>AND('Species Data'!H77,"AAAAAHPe50M=")</f>
        <v>#VALUE!</v>
      </c>
      <c r="BQ21" t="e">
        <f>AND('Species Data'!I77,"AAAAAHPe50Q=")</f>
        <v>#VALUE!</v>
      </c>
      <c r="BR21" t="e">
        <f>AND('Species Data'!J77,"AAAAAHPe50U=")</f>
        <v>#VALUE!</v>
      </c>
      <c r="BS21" t="e">
        <f>AND('Species Data'!K77,"AAAAAHPe50Y=")</f>
        <v>#VALUE!</v>
      </c>
      <c r="BT21" t="e">
        <f>AND('Species Data'!L77,"AAAAAHPe50c=")</f>
        <v>#VALUE!</v>
      </c>
      <c r="BU21" t="e">
        <f>AND('Species Data'!M77,"AAAAAHPe50g=")</f>
        <v>#VALUE!</v>
      </c>
      <c r="BV21" t="e">
        <f>AND('Species Data'!N77,"AAAAAHPe50k=")</f>
        <v>#VALUE!</v>
      </c>
      <c r="BW21" t="e">
        <f>AND('Species Data'!O77,"AAAAAHPe50o=")</f>
        <v>#VALUE!</v>
      </c>
      <c r="BX21">
        <f>IF('Species Data'!78:78,"AAAAAHPe50s=",0)</f>
        <v>0</v>
      </c>
      <c r="BY21" t="e">
        <f>AND('Species Data'!A78,"AAAAAHPe50w=")</f>
        <v>#VALUE!</v>
      </c>
      <c r="BZ21" t="e">
        <f>AND('Species Data'!B78,"AAAAAHPe500=")</f>
        <v>#VALUE!</v>
      </c>
      <c r="CA21" t="e">
        <f>AND('Species Data'!C78,"AAAAAHPe504=")</f>
        <v>#VALUE!</v>
      </c>
      <c r="CB21" t="e">
        <f>AND('Species Data'!D78,"AAAAAHPe508=")</f>
        <v>#VALUE!</v>
      </c>
      <c r="CC21" t="e">
        <f>AND('Species Data'!E78,"AAAAAHPe51A=")</f>
        <v>#VALUE!</v>
      </c>
      <c r="CD21" t="e">
        <f>AND('Species Data'!F78,"AAAAAHPe51E=")</f>
        <v>#VALUE!</v>
      </c>
      <c r="CE21" t="e">
        <f>AND('Species Data'!G78,"AAAAAHPe51I=")</f>
        <v>#VALUE!</v>
      </c>
      <c r="CF21" t="e">
        <f>AND('Species Data'!H78,"AAAAAHPe51M=")</f>
        <v>#VALUE!</v>
      </c>
      <c r="CG21" t="e">
        <f>AND('Species Data'!I78,"AAAAAHPe51Q=")</f>
        <v>#VALUE!</v>
      </c>
      <c r="CH21" t="e">
        <f>AND('Species Data'!J78,"AAAAAHPe51U=")</f>
        <v>#VALUE!</v>
      </c>
      <c r="CI21" t="e">
        <f>AND('Species Data'!K78,"AAAAAHPe51Y=")</f>
        <v>#VALUE!</v>
      </c>
      <c r="CJ21" t="e">
        <f>AND('Species Data'!L78,"AAAAAHPe51c=")</f>
        <v>#VALUE!</v>
      </c>
      <c r="CK21" t="e">
        <f>AND('Species Data'!M78,"AAAAAHPe51g=")</f>
        <v>#VALUE!</v>
      </c>
      <c r="CL21" t="e">
        <f>AND('Species Data'!N78,"AAAAAHPe51k=")</f>
        <v>#VALUE!</v>
      </c>
      <c r="CM21" t="e">
        <f>AND('Species Data'!O78,"AAAAAHPe51o=")</f>
        <v>#VALUE!</v>
      </c>
      <c r="CN21">
        <f>IF('Species Data'!79:79,"AAAAAHPe51s=",0)</f>
        <v>0</v>
      </c>
      <c r="CO21" t="e">
        <f>AND('Species Data'!A79,"AAAAAHPe51w=")</f>
        <v>#VALUE!</v>
      </c>
      <c r="CP21" t="e">
        <f>AND('Species Data'!B79,"AAAAAHPe510=")</f>
        <v>#VALUE!</v>
      </c>
      <c r="CQ21" t="e">
        <f>AND('Species Data'!C79,"AAAAAHPe514=")</f>
        <v>#VALUE!</v>
      </c>
      <c r="CR21" t="e">
        <f>AND('Species Data'!D79,"AAAAAHPe518=")</f>
        <v>#VALUE!</v>
      </c>
      <c r="CS21" t="e">
        <f>AND('Species Data'!E79,"AAAAAHPe52A=")</f>
        <v>#VALUE!</v>
      </c>
      <c r="CT21" t="e">
        <f>AND('Species Data'!F79,"AAAAAHPe52E=")</f>
        <v>#VALUE!</v>
      </c>
      <c r="CU21" t="e">
        <f>AND('Species Data'!G79,"AAAAAHPe52I=")</f>
        <v>#VALUE!</v>
      </c>
      <c r="CV21" t="e">
        <f>AND('Species Data'!H79,"AAAAAHPe52M=")</f>
        <v>#VALUE!</v>
      </c>
      <c r="CW21" t="e">
        <f>AND('Species Data'!I79,"AAAAAHPe52Q=")</f>
        <v>#VALUE!</v>
      </c>
      <c r="CX21" t="e">
        <f>AND('Species Data'!J79,"AAAAAHPe52U=")</f>
        <v>#VALUE!</v>
      </c>
      <c r="CY21" t="e">
        <f>AND('Species Data'!K79,"AAAAAHPe52Y=")</f>
        <v>#VALUE!</v>
      </c>
      <c r="CZ21" t="e">
        <f>AND('Species Data'!L79,"AAAAAHPe52c=")</f>
        <v>#VALUE!</v>
      </c>
      <c r="DA21" t="e">
        <f>AND('Species Data'!M79,"AAAAAHPe52g=")</f>
        <v>#VALUE!</v>
      </c>
      <c r="DB21" t="e">
        <f>AND('Species Data'!N79,"AAAAAHPe52k=")</f>
        <v>#VALUE!</v>
      </c>
      <c r="DC21" t="e">
        <f>AND('Species Data'!O79,"AAAAAHPe52o=")</f>
        <v>#VALUE!</v>
      </c>
      <c r="DD21">
        <f>IF('Species Data'!80:80,"AAAAAHPe52s=",0)</f>
        <v>0</v>
      </c>
      <c r="DE21" t="e">
        <f>AND('Species Data'!A80,"AAAAAHPe52w=")</f>
        <v>#VALUE!</v>
      </c>
      <c r="DF21" t="e">
        <f>AND('Species Data'!B80,"AAAAAHPe520=")</f>
        <v>#VALUE!</v>
      </c>
      <c r="DG21" t="e">
        <f>AND('Species Data'!C80,"AAAAAHPe524=")</f>
        <v>#VALUE!</v>
      </c>
      <c r="DH21" t="e">
        <f>AND('Species Data'!D80,"AAAAAHPe528=")</f>
        <v>#VALUE!</v>
      </c>
      <c r="DI21" t="e">
        <f>AND('Species Data'!E80,"AAAAAHPe53A=")</f>
        <v>#VALUE!</v>
      </c>
      <c r="DJ21" t="e">
        <f>AND('Species Data'!F80,"AAAAAHPe53E=")</f>
        <v>#VALUE!</v>
      </c>
      <c r="DK21" t="e">
        <f>AND('Species Data'!G80,"AAAAAHPe53I=")</f>
        <v>#VALUE!</v>
      </c>
      <c r="DL21" t="e">
        <f>AND('Species Data'!H80,"AAAAAHPe53M=")</f>
        <v>#VALUE!</v>
      </c>
      <c r="DM21" t="e">
        <f>AND('Species Data'!I80,"AAAAAHPe53Q=")</f>
        <v>#VALUE!</v>
      </c>
      <c r="DN21" t="e">
        <f>AND('Species Data'!J80,"AAAAAHPe53U=")</f>
        <v>#VALUE!</v>
      </c>
      <c r="DO21" t="e">
        <f>AND('Species Data'!K80,"AAAAAHPe53Y=")</f>
        <v>#VALUE!</v>
      </c>
      <c r="DP21" t="e">
        <f>AND('Species Data'!L80,"AAAAAHPe53c=")</f>
        <v>#VALUE!</v>
      </c>
      <c r="DQ21" t="e">
        <f>AND('Species Data'!M80,"AAAAAHPe53g=")</f>
        <v>#VALUE!</v>
      </c>
      <c r="DR21" t="e">
        <f>AND('Species Data'!N80,"AAAAAHPe53k=")</f>
        <v>#VALUE!</v>
      </c>
      <c r="DS21" t="e">
        <f>AND('Species Data'!O80,"AAAAAHPe53o=")</f>
        <v>#VALUE!</v>
      </c>
      <c r="DT21">
        <f>IF('Species Data'!81:81,"AAAAAHPe53s=",0)</f>
        <v>0</v>
      </c>
      <c r="DU21" t="e">
        <f>AND('Species Data'!A81,"AAAAAHPe53w=")</f>
        <v>#VALUE!</v>
      </c>
      <c r="DV21" t="e">
        <f>AND('Species Data'!B81,"AAAAAHPe530=")</f>
        <v>#VALUE!</v>
      </c>
      <c r="DW21" t="e">
        <f>AND('Species Data'!C81,"AAAAAHPe534=")</f>
        <v>#VALUE!</v>
      </c>
      <c r="DX21" t="e">
        <f>AND('Species Data'!D81,"AAAAAHPe538=")</f>
        <v>#VALUE!</v>
      </c>
      <c r="DY21" t="e">
        <f>AND('Species Data'!E81,"AAAAAHPe54A=")</f>
        <v>#VALUE!</v>
      </c>
      <c r="DZ21" t="e">
        <f>AND('Species Data'!F81,"AAAAAHPe54E=")</f>
        <v>#VALUE!</v>
      </c>
      <c r="EA21" t="e">
        <f>AND('Species Data'!G81,"AAAAAHPe54I=")</f>
        <v>#VALUE!</v>
      </c>
      <c r="EB21" t="e">
        <f>AND('Species Data'!H81,"AAAAAHPe54M=")</f>
        <v>#VALUE!</v>
      </c>
      <c r="EC21" t="e">
        <f>AND('Species Data'!I81,"AAAAAHPe54Q=")</f>
        <v>#VALUE!</v>
      </c>
      <c r="ED21" t="e">
        <f>AND('Species Data'!J81,"AAAAAHPe54U=")</f>
        <v>#VALUE!</v>
      </c>
      <c r="EE21" t="e">
        <f>AND('Species Data'!K81,"AAAAAHPe54Y=")</f>
        <v>#VALUE!</v>
      </c>
      <c r="EF21" t="e">
        <f>AND('Species Data'!L81,"AAAAAHPe54c=")</f>
        <v>#VALUE!</v>
      </c>
      <c r="EG21" t="e">
        <f>AND('Species Data'!M81,"AAAAAHPe54g=")</f>
        <v>#VALUE!</v>
      </c>
      <c r="EH21" t="e">
        <f>AND('Species Data'!N81,"AAAAAHPe54k=")</f>
        <v>#VALUE!</v>
      </c>
      <c r="EI21" t="e">
        <f>AND('Species Data'!O81,"AAAAAHPe54o=")</f>
        <v>#VALUE!</v>
      </c>
      <c r="EJ21">
        <f>IF('Species Data'!82:82,"AAAAAHPe54s=",0)</f>
        <v>0</v>
      </c>
      <c r="EK21" t="e">
        <f>AND('Species Data'!A82,"AAAAAHPe54w=")</f>
        <v>#VALUE!</v>
      </c>
      <c r="EL21" t="e">
        <f>AND('Species Data'!B82,"AAAAAHPe540=")</f>
        <v>#VALUE!</v>
      </c>
      <c r="EM21" t="e">
        <f>AND('Species Data'!C82,"AAAAAHPe544=")</f>
        <v>#VALUE!</v>
      </c>
      <c r="EN21" t="e">
        <f>AND('Species Data'!D82,"AAAAAHPe548=")</f>
        <v>#VALUE!</v>
      </c>
      <c r="EO21" t="e">
        <f>AND('Species Data'!E82,"AAAAAHPe55A=")</f>
        <v>#VALUE!</v>
      </c>
      <c r="EP21" t="e">
        <f>AND('Species Data'!F82,"AAAAAHPe55E=")</f>
        <v>#VALUE!</v>
      </c>
      <c r="EQ21" t="e">
        <f>AND('Species Data'!G82,"AAAAAHPe55I=")</f>
        <v>#VALUE!</v>
      </c>
      <c r="ER21" t="e">
        <f>AND('Species Data'!H82,"AAAAAHPe55M=")</f>
        <v>#VALUE!</v>
      </c>
      <c r="ES21" t="e">
        <f>AND('Species Data'!I82,"AAAAAHPe55Q=")</f>
        <v>#VALUE!</v>
      </c>
      <c r="ET21" t="e">
        <f>AND('Species Data'!J82,"AAAAAHPe55U=")</f>
        <v>#VALUE!</v>
      </c>
      <c r="EU21" t="e">
        <f>AND('Species Data'!K82,"AAAAAHPe55Y=")</f>
        <v>#VALUE!</v>
      </c>
      <c r="EV21" t="e">
        <f>AND('Species Data'!L82,"AAAAAHPe55c=")</f>
        <v>#VALUE!</v>
      </c>
      <c r="EW21" t="e">
        <f>AND('Species Data'!M82,"AAAAAHPe55g=")</f>
        <v>#VALUE!</v>
      </c>
      <c r="EX21" t="e">
        <f>AND('Species Data'!N82,"AAAAAHPe55k=")</f>
        <v>#VALUE!</v>
      </c>
      <c r="EY21" t="e">
        <f>AND('Species Data'!O82,"AAAAAHPe55o=")</f>
        <v>#VALUE!</v>
      </c>
      <c r="EZ21">
        <f>IF('Species Data'!83:83,"AAAAAHPe55s=",0)</f>
        <v>0</v>
      </c>
      <c r="FA21" t="e">
        <f>AND('Species Data'!A83,"AAAAAHPe55w=")</f>
        <v>#VALUE!</v>
      </c>
      <c r="FB21" t="e">
        <f>AND('Species Data'!B83,"AAAAAHPe550=")</f>
        <v>#VALUE!</v>
      </c>
      <c r="FC21" t="e">
        <f>AND('Species Data'!C83,"AAAAAHPe554=")</f>
        <v>#VALUE!</v>
      </c>
      <c r="FD21" t="e">
        <f>AND('Species Data'!D83,"AAAAAHPe558=")</f>
        <v>#VALUE!</v>
      </c>
      <c r="FE21" t="e">
        <f>AND('Species Data'!E83,"AAAAAHPe56A=")</f>
        <v>#VALUE!</v>
      </c>
      <c r="FF21" t="e">
        <f>AND('Species Data'!F83,"AAAAAHPe56E=")</f>
        <v>#VALUE!</v>
      </c>
      <c r="FG21" t="e">
        <f>AND('Species Data'!G83,"AAAAAHPe56I=")</f>
        <v>#VALUE!</v>
      </c>
      <c r="FH21" t="e">
        <f>AND('Species Data'!H83,"AAAAAHPe56M=")</f>
        <v>#VALUE!</v>
      </c>
      <c r="FI21" t="e">
        <f>AND('Species Data'!I83,"AAAAAHPe56Q=")</f>
        <v>#VALUE!</v>
      </c>
      <c r="FJ21" t="e">
        <f>AND('Species Data'!J83,"AAAAAHPe56U=")</f>
        <v>#VALUE!</v>
      </c>
      <c r="FK21" t="e">
        <f>AND('Species Data'!K83,"AAAAAHPe56Y=")</f>
        <v>#VALUE!</v>
      </c>
      <c r="FL21" t="e">
        <f>AND('Species Data'!L83,"AAAAAHPe56c=")</f>
        <v>#VALUE!</v>
      </c>
      <c r="FM21" t="e">
        <f>AND('Species Data'!M83,"AAAAAHPe56g=")</f>
        <v>#VALUE!</v>
      </c>
      <c r="FN21" t="e">
        <f>AND('Species Data'!N83,"AAAAAHPe56k=")</f>
        <v>#VALUE!</v>
      </c>
      <c r="FO21" t="e">
        <f>AND('Species Data'!O83,"AAAAAHPe56o=")</f>
        <v>#VALUE!</v>
      </c>
      <c r="FP21">
        <f>IF('Species Data'!84:84,"AAAAAHPe56s=",0)</f>
        <v>0</v>
      </c>
      <c r="FQ21" t="e">
        <f>AND('Species Data'!A84,"AAAAAHPe56w=")</f>
        <v>#VALUE!</v>
      </c>
      <c r="FR21" t="e">
        <f>AND('Species Data'!B84,"AAAAAHPe560=")</f>
        <v>#VALUE!</v>
      </c>
      <c r="FS21" t="e">
        <f>AND('Species Data'!C84,"AAAAAHPe564=")</f>
        <v>#VALUE!</v>
      </c>
      <c r="FT21" t="e">
        <f>AND('Species Data'!D84,"AAAAAHPe568=")</f>
        <v>#VALUE!</v>
      </c>
      <c r="FU21" t="e">
        <f>AND('Species Data'!E84,"AAAAAHPe57A=")</f>
        <v>#VALUE!</v>
      </c>
      <c r="FV21" t="e">
        <f>AND('Species Data'!F84,"AAAAAHPe57E=")</f>
        <v>#VALUE!</v>
      </c>
      <c r="FW21" t="e">
        <f>AND('Species Data'!G84,"AAAAAHPe57I=")</f>
        <v>#VALUE!</v>
      </c>
      <c r="FX21" t="e">
        <f>AND('Species Data'!H84,"AAAAAHPe57M=")</f>
        <v>#VALUE!</v>
      </c>
      <c r="FY21" t="e">
        <f>AND('Species Data'!I84,"AAAAAHPe57Q=")</f>
        <v>#VALUE!</v>
      </c>
      <c r="FZ21" t="e">
        <f>AND('Species Data'!J84,"AAAAAHPe57U=")</f>
        <v>#VALUE!</v>
      </c>
      <c r="GA21" t="e">
        <f>AND('Species Data'!K84,"AAAAAHPe57Y=")</f>
        <v>#VALUE!</v>
      </c>
      <c r="GB21" t="e">
        <f>AND('Species Data'!L84,"AAAAAHPe57c=")</f>
        <v>#VALUE!</v>
      </c>
      <c r="GC21" t="e">
        <f>AND('Species Data'!M84,"AAAAAHPe57g=")</f>
        <v>#VALUE!</v>
      </c>
      <c r="GD21" t="e">
        <f>AND('Species Data'!N84,"AAAAAHPe57k=")</f>
        <v>#VALUE!</v>
      </c>
      <c r="GE21" t="e">
        <f>AND('Species Data'!O84,"AAAAAHPe57o=")</f>
        <v>#VALUE!</v>
      </c>
      <c r="GF21">
        <f>IF('Species Data'!85:85,"AAAAAHPe57s=",0)</f>
        <v>0</v>
      </c>
      <c r="GG21" t="e">
        <f>AND('Species Data'!A85,"AAAAAHPe57w=")</f>
        <v>#VALUE!</v>
      </c>
      <c r="GH21" t="e">
        <f>AND('Species Data'!B85,"AAAAAHPe570=")</f>
        <v>#VALUE!</v>
      </c>
      <c r="GI21" t="e">
        <f>AND('Species Data'!C85,"AAAAAHPe574=")</f>
        <v>#VALUE!</v>
      </c>
      <c r="GJ21" t="e">
        <f>AND('Species Data'!D85,"AAAAAHPe578=")</f>
        <v>#VALUE!</v>
      </c>
      <c r="GK21" t="e">
        <f>AND('Species Data'!E85,"AAAAAHPe58A=")</f>
        <v>#VALUE!</v>
      </c>
      <c r="GL21" t="e">
        <f>AND('Species Data'!F85,"AAAAAHPe58E=")</f>
        <v>#VALUE!</v>
      </c>
      <c r="GM21" t="e">
        <f>AND('Species Data'!G85,"AAAAAHPe58I=")</f>
        <v>#VALUE!</v>
      </c>
      <c r="GN21" t="e">
        <f>AND('Species Data'!H85,"AAAAAHPe58M=")</f>
        <v>#VALUE!</v>
      </c>
      <c r="GO21" t="e">
        <f>AND('Species Data'!I85,"AAAAAHPe58Q=")</f>
        <v>#VALUE!</v>
      </c>
      <c r="GP21" t="e">
        <f>AND('Species Data'!J85,"AAAAAHPe58U=")</f>
        <v>#VALUE!</v>
      </c>
      <c r="GQ21" t="e">
        <f>AND('Species Data'!K85,"AAAAAHPe58Y=")</f>
        <v>#VALUE!</v>
      </c>
      <c r="GR21" t="e">
        <f>AND('Species Data'!L85,"AAAAAHPe58c=")</f>
        <v>#VALUE!</v>
      </c>
      <c r="GS21" t="e">
        <f>AND('Species Data'!M85,"AAAAAHPe58g=")</f>
        <v>#VALUE!</v>
      </c>
      <c r="GT21" t="e">
        <f>AND('Species Data'!N85,"AAAAAHPe58k=")</f>
        <v>#VALUE!</v>
      </c>
      <c r="GU21" t="e">
        <f>AND('Species Data'!O85,"AAAAAHPe58o=")</f>
        <v>#VALUE!</v>
      </c>
      <c r="GV21">
        <f>IF('Species Data'!86:86,"AAAAAHPe58s=",0)</f>
        <v>0</v>
      </c>
      <c r="GW21" t="e">
        <f>AND('Species Data'!A86,"AAAAAHPe58w=")</f>
        <v>#VALUE!</v>
      </c>
      <c r="GX21" t="e">
        <f>AND('Species Data'!B86,"AAAAAHPe580=")</f>
        <v>#VALUE!</v>
      </c>
      <c r="GY21" t="e">
        <f>AND('Species Data'!C86,"AAAAAHPe584=")</f>
        <v>#VALUE!</v>
      </c>
      <c r="GZ21" t="e">
        <f>AND('Species Data'!D86,"AAAAAHPe588=")</f>
        <v>#VALUE!</v>
      </c>
      <c r="HA21" t="e">
        <f>AND('Species Data'!E86,"AAAAAHPe59A=")</f>
        <v>#VALUE!</v>
      </c>
      <c r="HB21" t="e">
        <f>AND('Species Data'!F86,"AAAAAHPe59E=")</f>
        <v>#VALUE!</v>
      </c>
      <c r="HC21" t="e">
        <f>AND('Species Data'!G86,"AAAAAHPe59I=")</f>
        <v>#VALUE!</v>
      </c>
      <c r="HD21" t="e">
        <f>AND('Species Data'!H86,"AAAAAHPe59M=")</f>
        <v>#VALUE!</v>
      </c>
      <c r="HE21" t="e">
        <f>AND('Species Data'!I86,"AAAAAHPe59Q=")</f>
        <v>#VALUE!</v>
      </c>
      <c r="HF21" t="e">
        <f>AND('Species Data'!J86,"AAAAAHPe59U=")</f>
        <v>#VALUE!</v>
      </c>
      <c r="HG21" t="e">
        <f>AND('Species Data'!K86,"AAAAAHPe59Y=")</f>
        <v>#VALUE!</v>
      </c>
      <c r="HH21" t="e">
        <f>AND('Species Data'!L86,"AAAAAHPe59c=")</f>
        <v>#VALUE!</v>
      </c>
      <c r="HI21" t="e">
        <f>AND('Species Data'!M86,"AAAAAHPe59g=")</f>
        <v>#VALUE!</v>
      </c>
      <c r="HJ21" t="e">
        <f>AND('Species Data'!N86,"AAAAAHPe59k=")</f>
        <v>#VALUE!</v>
      </c>
      <c r="HK21" t="e">
        <f>AND('Species Data'!O86,"AAAAAHPe59o=")</f>
        <v>#VALUE!</v>
      </c>
      <c r="HL21">
        <f>IF('Species Data'!87:87,"AAAAAHPe59s=",0)</f>
        <v>0</v>
      </c>
      <c r="HM21" t="e">
        <f>AND('Species Data'!A87,"AAAAAHPe59w=")</f>
        <v>#VALUE!</v>
      </c>
      <c r="HN21" t="e">
        <f>AND('Species Data'!B87,"AAAAAHPe590=")</f>
        <v>#VALUE!</v>
      </c>
      <c r="HO21" t="e">
        <f>AND('Species Data'!C87,"AAAAAHPe594=")</f>
        <v>#VALUE!</v>
      </c>
      <c r="HP21" t="e">
        <f>AND('Species Data'!D87,"AAAAAHPe598=")</f>
        <v>#VALUE!</v>
      </c>
      <c r="HQ21" t="e">
        <f>AND('Species Data'!E87,"AAAAAHPe5+A=")</f>
        <v>#VALUE!</v>
      </c>
      <c r="HR21" t="e">
        <f>AND('Species Data'!F87,"AAAAAHPe5+E=")</f>
        <v>#VALUE!</v>
      </c>
      <c r="HS21" t="e">
        <f>AND('Species Data'!G87,"AAAAAHPe5+I=")</f>
        <v>#VALUE!</v>
      </c>
      <c r="HT21" t="e">
        <f>AND('Species Data'!H87,"AAAAAHPe5+M=")</f>
        <v>#VALUE!</v>
      </c>
      <c r="HU21" t="e">
        <f>AND('Species Data'!I87,"AAAAAHPe5+Q=")</f>
        <v>#VALUE!</v>
      </c>
      <c r="HV21" t="e">
        <f>AND('Species Data'!J87,"AAAAAHPe5+U=")</f>
        <v>#VALUE!</v>
      </c>
      <c r="HW21" t="e">
        <f>AND('Species Data'!K87,"AAAAAHPe5+Y=")</f>
        <v>#VALUE!</v>
      </c>
      <c r="HX21" t="e">
        <f>AND('Species Data'!L87,"AAAAAHPe5+c=")</f>
        <v>#VALUE!</v>
      </c>
      <c r="HY21" t="e">
        <f>AND('Species Data'!M87,"AAAAAHPe5+g=")</f>
        <v>#VALUE!</v>
      </c>
      <c r="HZ21" t="e">
        <f>AND('Species Data'!N87,"AAAAAHPe5+k=")</f>
        <v>#VALUE!</v>
      </c>
      <c r="IA21" t="e">
        <f>AND('Species Data'!O87,"AAAAAHPe5+o=")</f>
        <v>#VALUE!</v>
      </c>
      <c r="IB21">
        <f>IF('Species Data'!88:88,"AAAAAHPe5+s=",0)</f>
        <v>0</v>
      </c>
      <c r="IC21" t="e">
        <f>AND('Species Data'!A88,"AAAAAHPe5+w=")</f>
        <v>#VALUE!</v>
      </c>
      <c r="ID21" t="e">
        <f>AND('Species Data'!B88,"AAAAAHPe5+0=")</f>
        <v>#VALUE!</v>
      </c>
      <c r="IE21" t="e">
        <f>AND('Species Data'!C88,"AAAAAHPe5+4=")</f>
        <v>#VALUE!</v>
      </c>
      <c r="IF21" t="e">
        <f>AND('Species Data'!D88,"AAAAAHPe5+8=")</f>
        <v>#VALUE!</v>
      </c>
      <c r="IG21" t="e">
        <f>AND('Species Data'!E88,"AAAAAHPe5/A=")</f>
        <v>#VALUE!</v>
      </c>
      <c r="IH21" t="e">
        <f>AND('Species Data'!F88,"AAAAAHPe5/E=")</f>
        <v>#VALUE!</v>
      </c>
      <c r="II21" t="e">
        <f>AND('Species Data'!G88,"AAAAAHPe5/I=")</f>
        <v>#VALUE!</v>
      </c>
      <c r="IJ21" t="e">
        <f>AND('Species Data'!H88,"AAAAAHPe5/M=")</f>
        <v>#VALUE!</v>
      </c>
      <c r="IK21" t="e">
        <f>AND('Species Data'!I88,"AAAAAHPe5/Q=")</f>
        <v>#VALUE!</v>
      </c>
      <c r="IL21" t="e">
        <f>AND('Species Data'!J88,"AAAAAHPe5/U=")</f>
        <v>#VALUE!</v>
      </c>
      <c r="IM21" t="e">
        <f>AND('Species Data'!K88,"AAAAAHPe5/Y=")</f>
        <v>#VALUE!</v>
      </c>
      <c r="IN21" t="e">
        <f>AND('Species Data'!L88,"AAAAAHPe5/c=")</f>
        <v>#VALUE!</v>
      </c>
      <c r="IO21" t="e">
        <f>AND('Species Data'!M88,"AAAAAHPe5/g=")</f>
        <v>#VALUE!</v>
      </c>
      <c r="IP21" t="e">
        <f>AND('Species Data'!N88,"AAAAAHPe5/k=")</f>
        <v>#VALUE!</v>
      </c>
      <c r="IQ21" t="e">
        <f>AND('Species Data'!O88,"AAAAAHPe5/o=")</f>
        <v>#VALUE!</v>
      </c>
      <c r="IR21">
        <f>IF('Species Data'!89:89,"AAAAAHPe5/s=",0)</f>
        <v>0</v>
      </c>
      <c r="IS21" t="e">
        <f>AND('Species Data'!A89,"AAAAAHPe5/w=")</f>
        <v>#VALUE!</v>
      </c>
      <c r="IT21" t="e">
        <f>AND('Species Data'!B89,"AAAAAHPe5/0=")</f>
        <v>#VALUE!</v>
      </c>
      <c r="IU21" t="e">
        <f>AND('Species Data'!C89,"AAAAAHPe5/4=")</f>
        <v>#VALUE!</v>
      </c>
      <c r="IV21" t="e">
        <f>AND('Species Data'!D89,"AAAAAHPe5/8=")</f>
        <v>#VALUE!</v>
      </c>
    </row>
    <row r="22" spans="1:256">
      <c r="A22" t="e">
        <f>AND('Species Data'!E89,"AAAAAF/lzwA=")</f>
        <v>#VALUE!</v>
      </c>
      <c r="B22" t="e">
        <f>AND('Species Data'!F89,"AAAAAF/lzwE=")</f>
        <v>#VALUE!</v>
      </c>
      <c r="C22" t="e">
        <f>AND('Species Data'!G89,"AAAAAF/lzwI=")</f>
        <v>#VALUE!</v>
      </c>
      <c r="D22" t="e">
        <f>AND('Species Data'!H89,"AAAAAF/lzwM=")</f>
        <v>#VALUE!</v>
      </c>
      <c r="E22" t="e">
        <f>AND('Species Data'!I89,"AAAAAF/lzwQ=")</f>
        <v>#VALUE!</v>
      </c>
      <c r="F22" t="e">
        <f>AND('Species Data'!J89,"AAAAAF/lzwU=")</f>
        <v>#VALUE!</v>
      </c>
      <c r="G22" t="e">
        <f>AND('Species Data'!K89,"AAAAAF/lzwY=")</f>
        <v>#VALUE!</v>
      </c>
      <c r="H22" t="e">
        <f>AND('Species Data'!L89,"AAAAAF/lzwc=")</f>
        <v>#VALUE!</v>
      </c>
      <c r="I22" t="e">
        <f>AND('Species Data'!M89,"AAAAAF/lzwg=")</f>
        <v>#VALUE!</v>
      </c>
      <c r="J22" t="e">
        <f>AND('Species Data'!N89,"AAAAAF/lzwk=")</f>
        <v>#VALUE!</v>
      </c>
      <c r="K22" t="e">
        <f>AND('Species Data'!O89,"AAAAAF/lzwo=")</f>
        <v>#VALUE!</v>
      </c>
      <c r="L22" t="str">
        <f>IF('Species Data'!90:90,"AAAAAF/lzws=",0)</f>
        <v>AAAAAF/lzws=</v>
      </c>
      <c r="M22" t="e">
        <f>AND('Species Data'!A90,"AAAAAF/lzww=")</f>
        <v>#VALUE!</v>
      </c>
      <c r="N22" t="e">
        <f>AND('Species Data'!B90,"AAAAAF/lzw0=")</f>
        <v>#VALUE!</v>
      </c>
      <c r="O22" t="e">
        <f>AND('Species Data'!C90,"AAAAAF/lzw4=")</f>
        <v>#VALUE!</v>
      </c>
      <c r="P22" t="e">
        <f>AND('Species Data'!D90,"AAAAAF/lzw8=")</f>
        <v>#VALUE!</v>
      </c>
      <c r="Q22" t="e">
        <f>AND('Species Data'!E90,"AAAAAF/lzxA=")</f>
        <v>#VALUE!</v>
      </c>
      <c r="R22" t="e">
        <f>AND('Species Data'!F90,"AAAAAF/lzxE=")</f>
        <v>#VALUE!</v>
      </c>
      <c r="S22" t="e">
        <f>AND('Species Data'!G90,"AAAAAF/lzxI=")</f>
        <v>#VALUE!</v>
      </c>
      <c r="T22" t="e">
        <f>AND('Species Data'!H90,"AAAAAF/lzxM=")</f>
        <v>#VALUE!</v>
      </c>
      <c r="U22" t="e">
        <f>AND('Species Data'!I90,"AAAAAF/lzxQ=")</f>
        <v>#VALUE!</v>
      </c>
      <c r="V22" t="e">
        <f>AND('Species Data'!J90,"AAAAAF/lzxU=")</f>
        <v>#VALUE!</v>
      </c>
      <c r="W22" t="e">
        <f>AND('Species Data'!K90,"AAAAAF/lzxY=")</f>
        <v>#VALUE!</v>
      </c>
      <c r="X22" t="e">
        <f>AND('Species Data'!L90,"AAAAAF/lzxc=")</f>
        <v>#VALUE!</v>
      </c>
      <c r="Y22" t="e">
        <f>AND('Species Data'!M90,"AAAAAF/lzxg=")</f>
        <v>#VALUE!</v>
      </c>
      <c r="Z22" t="e">
        <f>AND('Species Data'!N90,"AAAAAF/lzxk=")</f>
        <v>#VALUE!</v>
      </c>
      <c r="AA22" t="e">
        <f>AND('Species Data'!O90,"AAAAAF/lzxo=")</f>
        <v>#VALUE!</v>
      </c>
      <c r="AB22">
        <f>IF('Species Data'!91:91,"AAAAAF/lzxs=",0)</f>
        <v>0</v>
      </c>
      <c r="AC22" t="e">
        <f>AND('Species Data'!A91,"AAAAAF/lzxw=")</f>
        <v>#VALUE!</v>
      </c>
      <c r="AD22" t="e">
        <f>AND('Species Data'!B91,"AAAAAF/lzx0=")</f>
        <v>#VALUE!</v>
      </c>
      <c r="AE22" t="e">
        <f>AND('Species Data'!C91,"AAAAAF/lzx4=")</f>
        <v>#VALUE!</v>
      </c>
      <c r="AF22" t="e">
        <f>AND('Species Data'!D91,"AAAAAF/lzx8=")</f>
        <v>#VALUE!</v>
      </c>
      <c r="AG22" t="e">
        <f>AND('Species Data'!E91,"AAAAAF/lzyA=")</f>
        <v>#VALUE!</v>
      </c>
      <c r="AH22" t="e">
        <f>AND('Species Data'!F91,"AAAAAF/lzyE=")</f>
        <v>#VALUE!</v>
      </c>
      <c r="AI22" t="e">
        <f>AND('Species Data'!G91,"AAAAAF/lzyI=")</f>
        <v>#VALUE!</v>
      </c>
      <c r="AJ22" t="e">
        <f>AND('Species Data'!H91,"AAAAAF/lzyM=")</f>
        <v>#VALUE!</v>
      </c>
      <c r="AK22" t="e">
        <f>AND('Species Data'!I91,"AAAAAF/lzyQ=")</f>
        <v>#VALUE!</v>
      </c>
      <c r="AL22" t="e">
        <f>AND('Species Data'!J91,"AAAAAF/lzyU=")</f>
        <v>#VALUE!</v>
      </c>
      <c r="AM22" t="e">
        <f>AND('Species Data'!K91,"AAAAAF/lzyY=")</f>
        <v>#VALUE!</v>
      </c>
      <c r="AN22" t="e">
        <f>AND('Species Data'!L91,"AAAAAF/lzyc=")</f>
        <v>#VALUE!</v>
      </c>
      <c r="AO22" t="e">
        <f>AND('Species Data'!M91,"AAAAAF/lzyg=")</f>
        <v>#VALUE!</v>
      </c>
      <c r="AP22" t="e">
        <f>AND('Species Data'!N91,"AAAAAF/lzyk=")</f>
        <v>#VALUE!</v>
      </c>
      <c r="AQ22" t="e">
        <f>AND('Species Data'!O91,"AAAAAF/lzyo=")</f>
        <v>#VALUE!</v>
      </c>
      <c r="AR22">
        <f>IF('Species Data'!92:92,"AAAAAF/lzys=",0)</f>
        <v>0</v>
      </c>
      <c r="AS22" t="e">
        <f>AND('Species Data'!A92,"AAAAAF/lzyw=")</f>
        <v>#VALUE!</v>
      </c>
      <c r="AT22" t="e">
        <f>AND('Species Data'!B92,"AAAAAF/lzy0=")</f>
        <v>#VALUE!</v>
      </c>
      <c r="AU22" t="e">
        <f>AND('Species Data'!C92,"AAAAAF/lzy4=")</f>
        <v>#VALUE!</v>
      </c>
      <c r="AV22" t="e">
        <f>AND('Species Data'!D92,"AAAAAF/lzy8=")</f>
        <v>#VALUE!</v>
      </c>
      <c r="AW22" t="e">
        <f>AND('Species Data'!E92,"AAAAAF/lzzA=")</f>
        <v>#VALUE!</v>
      </c>
      <c r="AX22" t="e">
        <f>AND('Species Data'!F92,"AAAAAF/lzzE=")</f>
        <v>#VALUE!</v>
      </c>
      <c r="AY22" t="e">
        <f>AND('Species Data'!G92,"AAAAAF/lzzI=")</f>
        <v>#VALUE!</v>
      </c>
      <c r="AZ22" t="e">
        <f>AND('Species Data'!H92,"AAAAAF/lzzM=")</f>
        <v>#VALUE!</v>
      </c>
      <c r="BA22" t="e">
        <f>AND('Species Data'!I92,"AAAAAF/lzzQ=")</f>
        <v>#VALUE!</v>
      </c>
      <c r="BB22" t="e">
        <f>AND('Species Data'!J92,"AAAAAF/lzzU=")</f>
        <v>#VALUE!</v>
      </c>
      <c r="BC22" t="e">
        <f>AND('Species Data'!K92,"AAAAAF/lzzY=")</f>
        <v>#VALUE!</v>
      </c>
      <c r="BD22" t="e">
        <f>AND('Species Data'!L92,"AAAAAF/lzzc=")</f>
        <v>#VALUE!</v>
      </c>
      <c r="BE22" t="e">
        <f>AND('Species Data'!M92,"AAAAAF/lzzg=")</f>
        <v>#VALUE!</v>
      </c>
      <c r="BF22" t="e">
        <f>AND('Species Data'!N92,"AAAAAF/lzzk=")</f>
        <v>#VALUE!</v>
      </c>
      <c r="BG22" t="e">
        <f>AND('Species Data'!O92,"AAAAAF/lzzo=")</f>
        <v>#VALUE!</v>
      </c>
      <c r="BH22">
        <f>IF('Species Data'!93:93,"AAAAAF/lzzs=",0)</f>
        <v>0</v>
      </c>
      <c r="BI22" t="e">
        <f>AND('Species Data'!A93,"AAAAAF/lzzw=")</f>
        <v>#VALUE!</v>
      </c>
      <c r="BJ22" t="e">
        <f>AND('Species Data'!B93,"AAAAAF/lzz0=")</f>
        <v>#VALUE!</v>
      </c>
      <c r="BK22" t="e">
        <f>AND('Species Data'!C93,"AAAAAF/lzz4=")</f>
        <v>#VALUE!</v>
      </c>
      <c r="BL22" t="e">
        <f>AND('Species Data'!D93,"AAAAAF/lzz8=")</f>
        <v>#VALUE!</v>
      </c>
      <c r="BM22" t="e">
        <f>AND('Species Data'!E93,"AAAAAF/lz0A=")</f>
        <v>#VALUE!</v>
      </c>
      <c r="BN22" t="e">
        <f>AND('Species Data'!F93,"AAAAAF/lz0E=")</f>
        <v>#VALUE!</v>
      </c>
      <c r="BO22" t="e">
        <f>AND('Species Data'!G93,"AAAAAF/lz0I=")</f>
        <v>#VALUE!</v>
      </c>
      <c r="BP22" t="e">
        <f>AND('Species Data'!H93,"AAAAAF/lz0M=")</f>
        <v>#VALUE!</v>
      </c>
      <c r="BQ22" t="e">
        <f>AND('Species Data'!I93,"AAAAAF/lz0Q=")</f>
        <v>#VALUE!</v>
      </c>
      <c r="BR22" t="e">
        <f>AND('Species Data'!J93,"AAAAAF/lz0U=")</f>
        <v>#VALUE!</v>
      </c>
      <c r="BS22" t="e">
        <f>AND('Species Data'!K93,"AAAAAF/lz0Y=")</f>
        <v>#VALUE!</v>
      </c>
      <c r="BT22" t="e">
        <f>AND('Species Data'!L93,"AAAAAF/lz0c=")</f>
        <v>#VALUE!</v>
      </c>
      <c r="BU22" t="e">
        <f>AND('Species Data'!M93,"AAAAAF/lz0g=")</f>
        <v>#VALUE!</v>
      </c>
      <c r="BV22" t="e">
        <f>AND('Species Data'!N93,"AAAAAF/lz0k=")</f>
        <v>#VALUE!</v>
      </c>
      <c r="BW22" t="e">
        <f>AND('Species Data'!O93,"AAAAAF/lz0o=")</f>
        <v>#VALUE!</v>
      </c>
      <c r="BX22">
        <f>IF('Species Data'!94:94,"AAAAAF/lz0s=",0)</f>
        <v>0</v>
      </c>
      <c r="BY22" t="e">
        <f>AND('Species Data'!A94,"AAAAAF/lz0w=")</f>
        <v>#VALUE!</v>
      </c>
      <c r="BZ22" t="e">
        <f>AND('Species Data'!B94,"AAAAAF/lz00=")</f>
        <v>#VALUE!</v>
      </c>
      <c r="CA22" t="e">
        <f>AND('Species Data'!C94,"AAAAAF/lz04=")</f>
        <v>#VALUE!</v>
      </c>
      <c r="CB22" t="e">
        <f>AND('Species Data'!D94,"AAAAAF/lz08=")</f>
        <v>#VALUE!</v>
      </c>
      <c r="CC22" t="e">
        <f>AND('Species Data'!E94,"AAAAAF/lz1A=")</f>
        <v>#VALUE!</v>
      </c>
      <c r="CD22" t="e">
        <f>AND('Species Data'!F94,"AAAAAF/lz1E=")</f>
        <v>#VALUE!</v>
      </c>
      <c r="CE22" t="e">
        <f>AND('Species Data'!G94,"AAAAAF/lz1I=")</f>
        <v>#VALUE!</v>
      </c>
      <c r="CF22" t="e">
        <f>AND('Species Data'!H94,"AAAAAF/lz1M=")</f>
        <v>#VALUE!</v>
      </c>
      <c r="CG22" t="e">
        <f>AND('Species Data'!I94,"AAAAAF/lz1Q=")</f>
        <v>#VALUE!</v>
      </c>
      <c r="CH22" t="e">
        <f>AND('Species Data'!J94,"AAAAAF/lz1U=")</f>
        <v>#VALUE!</v>
      </c>
      <c r="CI22" t="e">
        <f>AND('Species Data'!K94,"AAAAAF/lz1Y=")</f>
        <v>#VALUE!</v>
      </c>
      <c r="CJ22" t="e">
        <f>AND('Species Data'!L94,"AAAAAF/lz1c=")</f>
        <v>#VALUE!</v>
      </c>
      <c r="CK22" t="e">
        <f>AND('Species Data'!M94,"AAAAAF/lz1g=")</f>
        <v>#VALUE!</v>
      </c>
      <c r="CL22" t="e">
        <f>AND('Species Data'!N94,"AAAAAF/lz1k=")</f>
        <v>#VALUE!</v>
      </c>
      <c r="CM22" t="e">
        <f>AND('Species Data'!O94,"AAAAAF/lz1o=")</f>
        <v>#VALUE!</v>
      </c>
      <c r="CN22">
        <f>IF('Species Data'!95:95,"AAAAAF/lz1s=",0)</f>
        <v>0</v>
      </c>
      <c r="CO22" t="e">
        <f>AND('Species Data'!A95,"AAAAAF/lz1w=")</f>
        <v>#VALUE!</v>
      </c>
      <c r="CP22" t="e">
        <f>AND('Species Data'!B95,"AAAAAF/lz10=")</f>
        <v>#VALUE!</v>
      </c>
      <c r="CQ22" t="e">
        <f>AND('Species Data'!C95,"AAAAAF/lz14=")</f>
        <v>#VALUE!</v>
      </c>
      <c r="CR22" t="e">
        <f>AND('Species Data'!D95,"AAAAAF/lz18=")</f>
        <v>#VALUE!</v>
      </c>
      <c r="CS22" t="e">
        <f>AND('Species Data'!E95,"AAAAAF/lz2A=")</f>
        <v>#VALUE!</v>
      </c>
      <c r="CT22" t="e">
        <f>AND('Species Data'!F95,"AAAAAF/lz2E=")</f>
        <v>#VALUE!</v>
      </c>
      <c r="CU22" t="e">
        <f>AND('Species Data'!G95,"AAAAAF/lz2I=")</f>
        <v>#VALUE!</v>
      </c>
      <c r="CV22" t="e">
        <f>AND('Species Data'!H95,"AAAAAF/lz2M=")</f>
        <v>#VALUE!</v>
      </c>
      <c r="CW22" t="e">
        <f>AND('Species Data'!I95,"AAAAAF/lz2Q=")</f>
        <v>#VALUE!</v>
      </c>
      <c r="CX22" t="e">
        <f>AND('Species Data'!J95,"AAAAAF/lz2U=")</f>
        <v>#VALUE!</v>
      </c>
      <c r="CY22" t="e">
        <f>AND('Species Data'!K95,"AAAAAF/lz2Y=")</f>
        <v>#VALUE!</v>
      </c>
      <c r="CZ22" t="e">
        <f>AND('Species Data'!L95,"AAAAAF/lz2c=")</f>
        <v>#VALUE!</v>
      </c>
      <c r="DA22" t="e">
        <f>AND('Species Data'!M95,"AAAAAF/lz2g=")</f>
        <v>#VALUE!</v>
      </c>
      <c r="DB22" t="e">
        <f>AND('Species Data'!N95,"AAAAAF/lz2k=")</f>
        <v>#VALUE!</v>
      </c>
      <c r="DC22" t="e">
        <f>AND('Species Data'!O95,"AAAAAF/lz2o=")</f>
        <v>#VALUE!</v>
      </c>
      <c r="DD22">
        <f>IF('Species Data'!96:96,"AAAAAF/lz2s=",0)</f>
        <v>0</v>
      </c>
      <c r="DE22" t="e">
        <f>AND('Species Data'!A96,"AAAAAF/lz2w=")</f>
        <v>#VALUE!</v>
      </c>
      <c r="DF22" t="e">
        <f>AND('Species Data'!B96,"AAAAAF/lz20=")</f>
        <v>#VALUE!</v>
      </c>
      <c r="DG22" t="e">
        <f>AND('Species Data'!C96,"AAAAAF/lz24=")</f>
        <v>#VALUE!</v>
      </c>
      <c r="DH22" t="e">
        <f>AND('Species Data'!D96,"AAAAAF/lz28=")</f>
        <v>#VALUE!</v>
      </c>
      <c r="DI22" t="e">
        <f>AND('Species Data'!E96,"AAAAAF/lz3A=")</f>
        <v>#VALUE!</v>
      </c>
      <c r="DJ22" t="e">
        <f>AND('Species Data'!F96,"AAAAAF/lz3E=")</f>
        <v>#VALUE!</v>
      </c>
      <c r="DK22" t="e">
        <f>AND('Species Data'!G96,"AAAAAF/lz3I=")</f>
        <v>#VALUE!</v>
      </c>
      <c r="DL22" t="e">
        <f>AND('Species Data'!H96,"AAAAAF/lz3M=")</f>
        <v>#VALUE!</v>
      </c>
      <c r="DM22" t="e">
        <f>AND('Species Data'!I96,"AAAAAF/lz3Q=")</f>
        <v>#VALUE!</v>
      </c>
      <c r="DN22" t="e">
        <f>AND('Species Data'!J96,"AAAAAF/lz3U=")</f>
        <v>#VALUE!</v>
      </c>
      <c r="DO22" t="e">
        <f>AND('Species Data'!K96,"AAAAAF/lz3Y=")</f>
        <v>#VALUE!</v>
      </c>
      <c r="DP22" t="e">
        <f>AND('Species Data'!L96,"AAAAAF/lz3c=")</f>
        <v>#VALUE!</v>
      </c>
      <c r="DQ22" t="e">
        <f>AND('Species Data'!M96,"AAAAAF/lz3g=")</f>
        <v>#VALUE!</v>
      </c>
      <c r="DR22" t="e">
        <f>AND('Species Data'!N96,"AAAAAF/lz3k=")</f>
        <v>#VALUE!</v>
      </c>
      <c r="DS22" t="e">
        <f>AND('Species Data'!O96,"AAAAAF/lz3o=")</f>
        <v>#VALUE!</v>
      </c>
      <c r="DT22">
        <f>IF('Species Data'!97:97,"AAAAAF/lz3s=",0)</f>
        <v>0</v>
      </c>
      <c r="DU22" t="e">
        <f>AND('Species Data'!A97,"AAAAAF/lz3w=")</f>
        <v>#VALUE!</v>
      </c>
      <c r="DV22" t="e">
        <f>AND('Species Data'!B97,"AAAAAF/lz30=")</f>
        <v>#VALUE!</v>
      </c>
      <c r="DW22" t="e">
        <f>AND('Species Data'!C97,"AAAAAF/lz34=")</f>
        <v>#VALUE!</v>
      </c>
      <c r="DX22" t="e">
        <f>AND('Species Data'!D97,"AAAAAF/lz38=")</f>
        <v>#VALUE!</v>
      </c>
      <c r="DY22" t="e">
        <f>AND('Species Data'!E97,"AAAAAF/lz4A=")</f>
        <v>#VALUE!</v>
      </c>
      <c r="DZ22" t="e">
        <f>AND('Species Data'!F97,"AAAAAF/lz4E=")</f>
        <v>#VALUE!</v>
      </c>
      <c r="EA22" t="e">
        <f>AND('Species Data'!G97,"AAAAAF/lz4I=")</f>
        <v>#VALUE!</v>
      </c>
      <c r="EB22" t="e">
        <f>AND('Species Data'!H97,"AAAAAF/lz4M=")</f>
        <v>#VALUE!</v>
      </c>
      <c r="EC22" t="e">
        <f>AND('Species Data'!I97,"AAAAAF/lz4Q=")</f>
        <v>#VALUE!</v>
      </c>
      <c r="ED22" t="e">
        <f>AND('Species Data'!J97,"AAAAAF/lz4U=")</f>
        <v>#VALUE!</v>
      </c>
      <c r="EE22" t="e">
        <f>AND('Species Data'!K97,"AAAAAF/lz4Y=")</f>
        <v>#VALUE!</v>
      </c>
      <c r="EF22" t="e">
        <f>AND('Species Data'!L97,"AAAAAF/lz4c=")</f>
        <v>#VALUE!</v>
      </c>
      <c r="EG22" t="e">
        <f>AND('Species Data'!M97,"AAAAAF/lz4g=")</f>
        <v>#VALUE!</v>
      </c>
      <c r="EH22" t="e">
        <f>AND('Species Data'!N97,"AAAAAF/lz4k=")</f>
        <v>#VALUE!</v>
      </c>
      <c r="EI22" t="e">
        <f>AND('Species Data'!O97,"AAAAAF/lz4o=")</f>
        <v>#VALUE!</v>
      </c>
      <c r="EJ22">
        <f>IF('Species Data'!98:98,"AAAAAF/lz4s=",0)</f>
        <v>0</v>
      </c>
      <c r="EK22" t="e">
        <f>AND('Species Data'!A98,"AAAAAF/lz4w=")</f>
        <v>#VALUE!</v>
      </c>
      <c r="EL22" t="e">
        <f>AND('Species Data'!B98,"AAAAAF/lz40=")</f>
        <v>#VALUE!</v>
      </c>
      <c r="EM22" t="e">
        <f>AND('Species Data'!C98,"AAAAAF/lz44=")</f>
        <v>#VALUE!</v>
      </c>
      <c r="EN22" t="e">
        <f>AND('Species Data'!D98,"AAAAAF/lz48=")</f>
        <v>#VALUE!</v>
      </c>
      <c r="EO22" t="e">
        <f>AND('Species Data'!E98,"AAAAAF/lz5A=")</f>
        <v>#VALUE!</v>
      </c>
      <c r="EP22" t="e">
        <f>AND('Species Data'!F98,"AAAAAF/lz5E=")</f>
        <v>#VALUE!</v>
      </c>
      <c r="EQ22" t="e">
        <f>AND('Species Data'!G98,"AAAAAF/lz5I=")</f>
        <v>#VALUE!</v>
      </c>
      <c r="ER22" t="e">
        <f>AND('Species Data'!H98,"AAAAAF/lz5M=")</f>
        <v>#VALUE!</v>
      </c>
      <c r="ES22" t="e">
        <f>AND('Species Data'!I98,"AAAAAF/lz5Q=")</f>
        <v>#VALUE!</v>
      </c>
      <c r="ET22" t="e">
        <f>AND('Species Data'!J98,"AAAAAF/lz5U=")</f>
        <v>#VALUE!</v>
      </c>
      <c r="EU22" t="e">
        <f>AND('Species Data'!K98,"AAAAAF/lz5Y=")</f>
        <v>#VALUE!</v>
      </c>
      <c r="EV22" t="e">
        <f>AND('Species Data'!L98,"AAAAAF/lz5c=")</f>
        <v>#VALUE!</v>
      </c>
      <c r="EW22" t="e">
        <f>AND('Species Data'!M98,"AAAAAF/lz5g=")</f>
        <v>#VALUE!</v>
      </c>
      <c r="EX22" t="e">
        <f>AND('Species Data'!N98,"AAAAAF/lz5k=")</f>
        <v>#VALUE!</v>
      </c>
      <c r="EY22" t="e">
        <f>AND('Species Data'!O98,"AAAAAF/lz5o=")</f>
        <v>#VALUE!</v>
      </c>
      <c r="EZ22">
        <f>IF('Species Data'!99:99,"AAAAAF/lz5s=",0)</f>
        <v>0</v>
      </c>
      <c r="FA22" t="e">
        <f>AND('Species Data'!A99,"AAAAAF/lz5w=")</f>
        <v>#VALUE!</v>
      </c>
      <c r="FB22" t="e">
        <f>AND('Species Data'!B99,"AAAAAF/lz50=")</f>
        <v>#VALUE!</v>
      </c>
      <c r="FC22" t="e">
        <f>AND('Species Data'!C99,"AAAAAF/lz54=")</f>
        <v>#VALUE!</v>
      </c>
      <c r="FD22" t="e">
        <f>AND('Species Data'!D99,"AAAAAF/lz58=")</f>
        <v>#VALUE!</v>
      </c>
      <c r="FE22" t="e">
        <f>AND('Species Data'!E99,"AAAAAF/lz6A=")</f>
        <v>#VALUE!</v>
      </c>
      <c r="FF22" t="e">
        <f>AND('Species Data'!F99,"AAAAAF/lz6E=")</f>
        <v>#VALUE!</v>
      </c>
      <c r="FG22" t="e">
        <f>AND('Species Data'!G99,"AAAAAF/lz6I=")</f>
        <v>#VALUE!</v>
      </c>
      <c r="FH22" t="e">
        <f>AND('Species Data'!H99,"AAAAAF/lz6M=")</f>
        <v>#VALUE!</v>
      </c>
      <c r="FI22" t="e">
        <f>AND('Species Data'!I99,"AAAAAF/lz6Q=")</f>
        <v>#VALUE!</v>
      </c>
      <c r="FJ22" t="e">
        <f>AND('Species Data'!J99,"AAAAAF/lz6U=")</f>
        <v>#VALUE!</v>
      </c>
      <c r="FK22" t="e">
        <f>AND('Species Data'!K99,"AAAAAF/lz6Y=")</f>
        <v>#VALUE!</v>
      </c>
      <c r="FL22" t="e">
        <f>AND('Species Data'!L99,"AAAAAF/lz6c=")</f>
        <v>#VALUE!</v>
      </c>
      <c r="FM22" t="e">
        <f>AND('Species Data'!M99,"AAAAAF/lz6g=")</f>
        <v>#VALUE!</v>
      </c>
      <c r="FN22" t="e">
        <f>AND('Species Data'!N99,"AAAAAF/lz6k=")</f>
        <v>#VALUE!</v>
      </c>
      <c r="FO22" t="e">
        <f>AND('Species Data'!O99,"AAAAAF/lz6o=")</f>
        <v>#VALUE!</v>
      </c>
      <c r="FP22">
        <f>IF('Species Data'!100:100,"AAAAAF/lz6s=",0)</f>
        <v>0</v>
      </c>
      <c r="FQ22" t="e">
        <f>AND('Species Data'!A100,"AAAAAF/lz6w=")</f>
        <v>#VALUE!</v>
      </c>
      <c r="FR22" t="e">
        <f>AND('Species Data'!B100,"AAAAAF/lz60=")</f>
        <v>#VALUE!</v>
      </c>
      <c r="FS22" t="e">
        <f>AND('Species Data'!C100,"AAAAAF/lz64=")</f>
        <v>#VALUE!</v>
      </c>
      <c r="FT22" t="e">
        <f>AND('Species Data'!D100,"AAAAAF/lz68=")</f>
        <v>#VALUE!</v>
      </c>
      <c r="FU22" t="e">
        <f>AND('Species Data'!E100,"AAAAAF/lz7A=")</f>
        <v>#VALUE!</v>
      </c>
      <c r="FV22" t="e">
        <f>AND('Species Data'!F100,"AAAAAF/lz7E=")</f>
        <v>#VALUE!</v>
      </c>
      <c r="FW22" t="e">
        <f>AND('Species Data'!G100,"AAAAAF/lz7I=")</f>
        <v>#VALUE!</v>
      </c>
      <c r="FX22" t="e">
        <f>AND('Species Data'!H100,"AAAAAF/lz7M=")</f>
        <v>#VALUE!</v>
      </c>
      <c r="FY22" t="e">
        <f>AND('Species Data'!I100,"AAAAAF/lz7Q=")</f>
        <v>#VALUE!</v>
      </c>
      <c r="FZ22" t="e">
        <f>AND('Species Data'!J100,"AAAAAF/lz7U=")</f>
        <v>#VALUE!</v>
      </c>
      <c r="GA22" t="e">
        <f>AND('Species Data'!K100,"AAAAAF/lz7Y=")</f>
        <v>#VALUE!</v>
      </c>
      <c r="GB22" t="e">
        <f>AND('Species Data'!L100,"AAAAAF/lz7c=")</f>
        <v>#VALUE!</v>
      </c>
      <c r="GC22" t="e">
        <f>AND('Species Data'!M100,"AAAAAF/lz7g=")</f>
        <v>#VALUE!</v>
      </c>
      <c r="GD22" t="e">
        <f>AND('Species Data'!N100,"AAAAAF/lz7k=")</f>
        <v>#VALUE!</v>
      </c>
      <c r="GE22" t="e">
        <f>AND('Species Data'!O100,"AAAAAF/lz7o=")</f>
        <v>#VALUE!</v>
      </c>
      <c r="GF22">
        <f>IF('Species Data'!101:101,"AAAAAF/lz7s=",0)</f>
        <v>0</v>
      </c>
      <c r="GG22" t="e">
        <f>AND('Species Data'!A101,"AAAAAF/lz7w=")</f>
        <v>#VALUE!</v>
      </c>
      <c r="GH22" t="e">
        <f>AND('Species Data'!B101,"AAAAAF/lz70=")</f>
        <v>#VALUE!</v>
      </c>
      <c r="GI22" t="e">
        <f>AND('Species Data'!C101,"AAAAAF/lz74=")</f>
        <v>#VALUE!</v>
      </c>
      <c r="GJ22" t="e">
        <f>AND('Species Data'!D101,"AAAAAF/lz78=")</f>
        <v>#VALUE!</v>
      </c>
      <c r="GK22" t="e">
        <f>AND('Species Data'!E101,"AAAAAF/lz8A=")</f>
        <v>#VALUE!</v>
      </c>
      <c r="GL22" t="e">
        <f>AND('Species Data'!F101,"AAAAAF/lz8E=")</f>
        <v>#VALUE!</v>
      </c>
      <c r="GM22" t="e">
        <f>AND('Species Data'!G101,"AAAAAF/lz8I=")</f>
        <v>#VALUE!</v>
      </c>
      <c r="GN22" t="e">
        <f>AND('Species Data'!H101,"AAAAAF/lz8M=")</f>
        <v>#VALUE!</v>
      </c>
      <c r="GO22" t="e">
        <f>AND('Species Data'!I101,"AAAAAF/lz8Q=")</f>
        <v>#VALUE!</v>
      </c>
      <c r="GP22" t="e">
        <f>AND('Species Data'!J101,"AAAAAF/lz8U=")</f>
        <v>#VALUE!</v>
      </c>
      <c r="GQ22" t="e">
        <f>AND('Species Data'!K101,"AAAAAF/lz8Y=")</f>
        <v>#VALUE!</v>
      </c>
      <c r="GR22" t="e">
        <f>AND('Species Data'!L101,"AAAAAF/lz8c=")</f>
        <v>#VALUE!</v>
      </c>
      <c r="GS22" t="e">
        <f>AND('Species Data'!M101,"AAAAAF/lz8g=")</f>
        <v>#VALUE!</v>
      </c>
      <c r="GT22" t="e">
        <f>AND('Species Data'!N101,"AAAAAF/lz8k=")</f>
        <v>#VALUE!</v>
      </c>
      <c r="GU22" t="e">
        <f>AND('Species Data'!O101,"AAAAAF/lz8o=")</f>
        <v>#VALUE!</v>
      </c>
      <c r="GV22">
        <f>IF('Species Data'!102:102,"AAAAAF/lz8s=",0)</f>
        <v>0</v>
      </c>
      <c r="GW22" t="e">
        <f>AND('Species Data'!A102,"AAAAAF/lz8w=")</f>
        <v>#VALUE!</v>
      </c>
      <c r="GX22" t="e">
        <f>AND('Species Data'!B102,"AAAAAF/lz80=")</f>
        <v>#VALUE!</v>
      </c>
      <c r="GY22" t="e">
        <f>AND('Species Data'!C102,"AAAAAF/lz84=")</f>
        <v>#VALUE!</v>
      </c>
      <c r="GZ22" t="e">
        <f>AND('Species Data'!D102,"AAAAAF/lz88=")</f>
        <v>#VALUE!</v>
      </c>
      <c r="HA22" t="e">
        <f>AND('Species Data'!E102,"AAAAAF/lz9A=")</f>
        <v>#VALUE!</v>
      </c>
      <c r="HB22" t="e">
        <f>AND('Species Data'!F102,"AAAAAF/lz9E=")</f>
        <v>#VALUE!</v>
      </c>
      <c r="HC22" t="e">
        <f>AND('Species Data'!G102,"AAAAAF/lz9I=")</f>
        <v>#VALUE!</v>
      </c>
      <c r="HD22" t="e">
        <f>AND('Species Data'!H102,"AAAAAF/lz9M=")</f>
        <v>#VALUE!</v>
      </c>
      <c r="HE22" t="e">
        <f>AND('Species Data'!I102,"AAAAAF/lz9Q=")</f>
        <v>#VALUE!</v>
      </c>
      <c r="HF22" t="e">
        <f>AND('Species Data'!J102,"AAAAAF/lz9U=")</f>
        <v>#VALUE!</v>
      </c>
      <c r="HG22" t="e">
        <f>AND('Species Data'!K102,"AAAAAF/lz9Y=")</f>
        <v>#VALUE!</v>
      </c>
      <c r="HH22" t="e">
        <f>AND('Species Data'!L102,"AAAAAF/lz9c=")</f>
        <v>#VALUE!</v>
      </c>
      <c r="HI22" t="e">
        <f>AND('Species Data'!M102,"AAAAAF/lz9g=")</f>
        <v>#VALUE!</v>
      </c>
      <c r="HJ22" t="e">
        <f>AND('Species Data'!N102,"AAAAAF/lz9k=")</f>
        <v>#VALUE!</v>
      </c>
      <c r="HK22" t="e">
        <f>AND('Species Data'!O102,"AAAAAF/lz9o=")</f>
        <v>#VALUE!</v>
      </c>
      <c r="HL22">
        <f>IF('Species Data'!103:103,"AAAAAF/lz9s=",0)</f>
        <v>0</v>
      </c>
      <c r="HM22" t="e">
        <f>AND('Species Data'!A103,"AAAAAF/lz9w=")</f>
        <v>#VALUE!</v>
      </c>
      <c r="HN22" t="e">
        <f>AND('Species Data'!B103,"AAAAAF/lz90=")</f>
        <v>#VALUE!</v>
      </c>
      <c r="HO22" t="e">
        <f>AND('Species Data'!C103,"AAAAAF/lz94=")</f>
        <v>#VALUE!</v>
      </c>
      <c r="HP22" t="e">
        <f>AND('Species Data'!D103,"AAAAAF/lz98=")</f>
        <v>#VALUE!</v>
      </c>
      <c r="HQ22" t="e">
        <f>AND('Species Data'!E103,"AAAAAF/lz+A=")</f>
        <v>#VALUE!</v>
      </c>
      <c r="HR22" t="e">
        <f>AND('Species Data'!F103,"AAAAAF/lz+E=")</f>
        <v>#VALUE!</v>
      </c>
      <c r="HS22" t="e">
        <f>AND('Species Data'!G103,"AAAAAF/lz+I=")</f>
        <v>#VALUE!</v>
      </c>
      <c r="HT22" t="e">
        <f>AND('Species Data'!H103,"AAAAAF/lz+M=")</f>
        <v>#VALUE!</v>
      </c>
      <c r="HU22" t="e">
        <f>AND('Species Data'!I103,"AAAAAF/lz+Q=")</f>
        <v>#VALUE!</v>
      </c>
      <c r="HV22" t="e">
        <f>AND('Species Data'!J103,"AAAAAF/lz+U=")</f>
        <v>#VALUE!</v>
      </c>
      <c r="HW22" t="e">
        <f>AND('Species Data'!K103,"AAAAAF/lz+Y=")</f>
        <v>#VALUE!</v>
      </c>
      <c r="HX22" t="e">
        <f>AND('Species Data'!L103,"AAAAAF/lz+c=")</f>
        <v>#VALUE!</v>
      </c>
      <c r="HY22" t="e">
        <f>AND('Species Data'!M103,"AAAAAF/lz+g=")</f>
        <v>#VALUE!</v>
      </c>
      <c r="HZ22" t="e">
        <f>AND('Species Data'!N103,"AAAAAF/lz+k=")</f>
        <v>#VALUE!</v>
      </c>
      <c r="IA22" t="e">
        <f>AND('Species Data'!O103,"AAAAAF/lz+o=")</f>
        <v>#VALUE!</v>
      </c>
      <c r="IB22">
        <f>IF('Species Data'!104:104,"AAAAAF/lz+s=",0)</f>
        <v>0</v>
      </c>
      <c r="IC22" t="e">
        <f>AND('Species Data'!A104,"AAAAAF/lz+w=")</f>
        <v>#VALUE!</v>
      </c>
      <c r="ID22" t="e">
        <f>AND('Species Data'!B104,"AAAAAF/lz+0=")</f>
        <v>#VALUE!</v>
      </c>
      <c r="IE22" t="e">
        <f>AND('Species Data'!C104,"AAAAAF/lz+4=")</f>
        <v>#VALUE!</v>
      </c>
      <c r="IF22" t="e">
        <f>AND('Species Data'!D104,"AAAAAF/lz+8=")</f>
        <v>#VALUE!</v>
      </c>
      <c r="IG22" t="e">
        <f>AND('Species Data'!E104,"AAAAAF/lz/A=")</f>
        <v>#VALUE!</v>
      </c>
      <c r="IH22" t="e">
        <f>AND('Species Data'!F104,"AAAAAF/lz/E=")</f>
        <v>#VALUE!</v>
      </c>
      <c r="II22" t="e">
        <f>AND('Species Data'!G104,"AAAAAF/lz/I=")</f>
        <v>#VALUE!</v>
      </c>
      <c r="IJ22" t="e">
        <f>AND('Species Data'!H104,"AAAAAF/lz/M=")</f>
        <v>#VALUE!</v>
      </c>
      <c r="IK22" t="e">
        <f>AND('Species Data'!I104,"AAAAAF/lz/Q=")</f>
        <v>#VALUE!</v>
      </c>
      <c r="IL22" t="e">
        <f>AND('Species Data'!J104,"AAAAAF/lz/U=")</f>
        <v>#VALUE!</v>
      </c>
      <c r="IM22" t="e">
        <f>AND('Species Data'!K104,"AAAAAF/lz/Y=")</f>
        <v>#VALUE!</v>
      </c>
      <c r="IN22" t="e">
        <f>AND('Species Data'!L104,"AAAAAF/lz/c=")</f>
        <v>#VALUE!</v>
      </c>
      <c r="IO22" t="e">
        <f>AND('Species Data'!M104,"AAAAAF/lz/g=")</f>
        <v>#VALUE!</v>
      </c>
      <c r="IP22" t="e">
        <f>AND('Species Data'!N104,"AAAAAF/lz/k=")</f>
        <v>#VALUE!</v>
      </c>
      <c r="IQ22" t="e">
        <f>AND('Species Data'!O104,"AAAAAF/lz/o=")</f>
        <v>#VALUE!</v>
      </c>
      <c r="IR22">
        <f>IF('Species Data'!105:105,"AAAAAF/lz/s=",0)</f>
        <v>0</v>
      </c>
      <c r="IS22" t="e">
        <f>AND('Species Data'!A105,"AAAAAF/lz/w=")</f>
        <v>#VALUE!</v>
      </c>
      <c r="IT22" t="e">
        <f>AND('Species Data'!B105,"AAAAAF/lz/0=")</f>
        <v>#VALUE!</v>
      </c>
      <c r="IU22" t="e">
        <f>AND('Species Data'!C105,"AAAAAF/lz/4=")</f>
        <v>#VALUE!</v>
      </c>
      <c r="IV22" t="e">
        <f>AND('Species Data'!D105,"AAAAAF/lz/8=")</f>
        <v>#VALUE!</v>
      </c>
    </row>
    <row r="23" spans="1:256">
      <c r="A23" t="e">
        <f>AND('Species Data'!E105,"AAAAAD0XtQA=")</f>
        <v>#VALUE!</v>
      </c>
      <c r="B23" t="e">
        <f>AND('Species Data'!F105,"AAAAAD0XtQE=")</f>
        <v>#VALUE!</v>
      </c>
      <c r="C23" t="e">
        <f>AND('Species Data'!G105,"AAAAAD0XtQI=")</f>
        <v>#VALUE!</v>
      </c>
      <c r="D23" t="e">
        <f>AND('Species Data'!H105,"AAAAAD0XtQM=")</f>
        <v>#VALUE!</v>
      </c>
      <c r="E23" t="e">
        <f>AND('Species Data'!I105,"AAAAAD0XtQQ=")</f>
        <v>#VALUE!</v>
      </c>
      <c r="F23" t="e">
        <f>AND('Species Data'!J105,"AAAAAD0XtQU=")</f>
        <v>#VALUE!</v>
      </c>
      <c r="G23" t="e">
        <f>AND('Species Data'!K105,"AAAAAD0XtQY=")</f>
        <v>#VALUE!</v>
      </c>
      <c r="H23" t="e">
        <f>AND('Species Data'!L105,"AAAAAD0XtQc=")</f>
        <v>#VALUE!</v>
      </c>
      <c r="I23" t="e">
        <f>AND('Species Data'!M105,"AAAAAD0XtQg=")</f>
        <v>#VALUE!</v>
      </c>
      <c r="J23" t="e">
        <f>AND('Species Data'!N105,"AAAAAD0XtQk=")</f>
        <v>#VALUE!</v>
      </c>
      <c r="K23" t="e">
        <f>AND('Species Data'!O105,"AAAAAD0XtQo=")</f>
        <v>#VALUE!</v>
      </c>
      <c r="L23" t="str">
        <f>IF('Species Data'!106:106,"AAAAAD0XtQs=",0)</f>
        <v>AAAAAD0XtQs=</v>
      </c>
      <c r="M23" t="e">
        <f>AND('Species Data'!A106,"AAAAAD0XtQw=")</f>
        <v>#VALUE!</v>
      </c>
      <c r="N23" t="e">
        <f>AND('Species Data'!B106,"AAAAAD0XtQ0=")</f>
        <v>#VALUE!</v>
      </c>
      <c r="O23" t="e">
        <f>AND('Species Data'!C106,"AAAAAD0XtQ4=")</f>
        <v>#VALUE!</v>
      </c>
      <c r="P23" t="e">
        <f>AND('Species Data'!D106,"AAAAAD0XtQ8=")</f>
        <v>#VALUE!</v>
      </c>
      <c r="Q23" t="e">
        <f>AND('Species Data'!E106,"AAAAAD0XtRA=")</f>
        <v>#VALUE!</v>
      </c>
      <c r="R23" t="e">
        <f>AND('Species Data'!F106,"AAAAAD0XtRE=")</f>
        <v>#VALUE!</v>
      </c>
      <c r="S23" t="e">
        <f>AND('Species Data'!G106,"AAAAAD0XtRI=")</f>
        <v>#VALUE!</v>
      </c>
      <c r="T23" t="e">
        <f>AND('Species Data'!H106,"AAAAAD0XtRM=")</f>
        <v>#VALUE!</v>
      </c>
      <c r="U23" t="e">
        <f>AND('Species Data'!I106,"AAAAAD0XtRQ=")</f>
        <v>#VALUE!</v>
      </c>
      <c r="V23" t="e">
        <f>AND('Species Data'!J106,"AAAAAD0XtRU=")</f>
        <v>#VALUE!</v>
      </c>
      <c r="W23" t="e">
        <f>AND('Species Data'!K106,"AAAAAD0XtRY=")</f>
        <v>#VALUE!</v>
      </c>
      <c r="X23" t="e">
        <f>AND('Species Data'!L106,"AAAAAD0XtRc=")</f>
        <v>#VALUE!</v>
      </c>
      <c r="Y23" t="e">
        <f>AND('Species Data'!M106,"AAAAAD0XtRg=")</f>
        <v>#VALUE!</v>
      </c>
      <c r="Z23" t="e">
        <f>AND('Species Data'!N106,"AAAAAD0XtRk=")</f>
        <v>#VALUE!</v>
      </c>
      <c r="AA23" t="e">
        <f>AND('Species Data'!O106,"AAAAAD0XtRo=")</f>
        <v>#VALUE!</v>
      </c>
      <c r="AB23">
        <f>IF('Species Data'!107:107,"AAAAAD0XtRs=",0)</f>
        <v>0</v>
      </c>
      <c r="AC23" t="e">
        <f>AND('Species Data'!A107,"AAAAAD0XtRw=")</f>
        <v>#VALUE!</v>
      </c>
      <c r="AD23" t="e">
        <f>AND('Species Data'!B107,"AAAAAD0XtR0=")</f>
        <v>#VALUE!</v>
      </c>
      <c r="AE23" t="e">
        <f>AND('Species Data'!C107,"AAAAAD0XtR4=")</f>
        <v>#VALUE!</v>
      </c>
      <c r="AF23" t="e">
        <f>AND('Species Data'!D107,"AAAAAD0XtR8=")</f>
        <v>#VALUE!</v>
      </c>
      <c r="AG23" t="e">
        <f>AND('Species Data'!E107,"AAAAAD0XtSA=")</f>
        <v>#VALUE!</v>
      </c>
      <c r="AH23" t="e">
        <f>AND('Species Data'!F107,"AAAAAD0XtSE=")</f>
        <v>#VALUE!</v>
      </c>
      <c r="AI23" t="e">
        <f>AND('Species Data'!G107,"AAAAAD0XtSI=")</f>
        <v>#VALUE!</v>
      </c>
      <c r="AJ23" t="e">
        <f>AND('Species Data'!H107,"AAAAAD0XtSM=")</f>
        <v>#VALUE!</v>
      </c>
      <c r="AK23" t="e">
        <f>AND('Species Data'!I107,"AAAAAD0XtSQ=")</f>
        <v>#VALUE!</v>
      </c>
      <c r="AL23" t="e">
        <f>AND('Species Data'!J107,"AAAAAD0XtSU=")</f>
        <v>#VALUE!</v>
      </c>
      <c r="AM23" t="e">
        <f>AND('Species Data'!K107,"AAAAAD0XtSY=")</f>
        <v>#VALUE!</v>
      </c>
      <c r="AN23" t="e">
        <f>AND('Species Data'!L107,"AAAAAD0XtSc=")</f>
        <v>#VALUE!</v>
      </c>
      <c r="AO23" t="e">
        <f>AND('Species Data'!M107,"AAAAAD0XtSg=")</f>
        <v>#VALUE!</v>
      </c>
      <c r="AP23" t="e">
        <f>AND('Species Data'!N107,"AAAAAD0XtSk=")</f>
        <v>#VALUE!</v>
      </c>
      <c r="AQ23" t="e">
        <f>AND('Species Data'!O107,"AAAAAD0XtSo=")</f>
        <v>#VALUE!</v>
      </c>
      <c r="AR23">
        <f>IF('Species Data'!108:108,"AAAAAD0XtSs=",0)</f>
        <v>0</v>
      </c>
      <c r="AS23" t="e">
        <f>AND('Species Data'!A108,"AAAAAD0XtSw=")</f>
        <v>#VALUE!</v>
      </c>
      <c r="AT23" t="e">
        <f>AND('Species Data'!B108,"AAAAAD0XtS0=")</f>
        <v>#VALUE!</v>
      </c>
      <c r="AU23" t="e">
        <f>AND('Species Data'!C108,"AAAAAD0XtS4=")</f>
        <v>#VALUE!</v>
      </c>
      <c r="AV23" t="e">
        <f>AND('Species Data'!D108,"AAAAAD0XtS8=")</f>
        <v>#VALUE!</v>
      </c>
      <c r="AW23" t="e">
        <f>AND('Species Data'!E108,"AAAAAD0XtTA=")</f>
        <v>#VALUE!</v>
      </c>
      <c r="AX23" t="e">
        <f>AND('Species Data'!F108,"AAAAAD0XtTE=")</f>
        <v>#VALUE!</v>
      </c>
      <c r="AY23" t="e">
        <f>AND('Species Data'!G108,"AAAAAD0XtTI=")</f>
        <v>#VALUE!</v>
      </c>
      <c r="AZ23" t="e">
        <f>AND('Species Data'!H108,"AAAAAD0XtTM=")</f>
        <v>#VALUE!</v>
      </c>
      <c r="BA23" t="e">
        <f>AND('Species Data'!I108,"AAAAAD0XtTQ=")</f>
        <v>#VALUE!</v>
      </c>
      <c r="BB23" t="e">
        <f>AND('Species Data'!J108,"AAAAAD0XtTU=")</f>
        <v>#VALUE!</v>
      </c>
      <c r="BC23" t="e">
        <f>AND('Species Data'!K108,"AAAAAD0XtTY=")</f>
        <v>#VALUE!</v>
      </c>
      <c r="BD23" t="e">
        <f>AND('Species Data'!L108,"AAAAAD0XtTc=")</f>
        <v>#VALUE!</v>
      </c>
      <c r="BE23" t="e">
        <f>AND('Species Data'!M108,"AAAAAD0XtTg=")</f>
        <v>#VALUE!</v>
      </c>
      <c r="BF23" t="e">
        <f>AND('Species Data'!N108,"AAAAAD0XtTk=")</f>
        <v>#VALUE!</v>
      </c>
      <c r="BG23" t="e">
        <f>AND('Species Data'!O108,"AAAAAD0XtTo=")</f>
        <v>#VALUE!</v>
      </c>
      <c r="BH23">
        <f>IF('Species Data'!109:109,"AAAAAD0XtTs=",0)</f>
        <v>0</v>
      </c>
      <c r="BI23" t="e">
        <f>AND('Species Data'!A109,"AAAAAD0XtTw=")</f>
        <v>#VALUE!</v>
      </c>
      <c r="BJ23" t="e">
        <f>AND('Species Data'!B109,"AAAAAD0XtT0=")</f>
        <v>#VALUE!</v>
      </c>
      <c r="BK23" t="e">
        <f>AND('Species Data'!C109,"AAAAAD0XtT4=")</f>
        <v>#VALUE!</v>
      </c>
      <c r="BL23" t="e">
        <f>AND('Species Data'!D109,"AAAAAD0XtT8=")</f>
        <v>#VALUE!</v>
      </c>
      <c r="BM23" t="e">
        <f>AND('Species Data'!E109,"AAAAAD0XtUA=")</f>
        <v>#VALUE!</v>
      </c>
      <c r="BN23" t="e">
        <f>AND('Species Data'!F109,"AAAAAD0XtUE=")</f>
        <v>#VALUE!</v>
      </c>
      <c r="BO23" t="e">
        <f>AND('Species Data'!G109,"AAAAAD0XtUI=")</f>
        <v>#VALUE!</v>
      </c>
      <c r="BP23" t="e">
        <f>AND('Species Data'!H109,"AAAAAD0XtUM=")</f>
        <v>#VALUE!</v>
      </c>
      <c r="BQ23" t="e">
        <f>AND('Species Data'!I109,"AAAAAD0XtUQ=")</f>
        <v>#VALUE!</v>
      </c>
      <c r="BR23" t="e">
        <f>AND('Species Data'!J109,"AAAAAD0XtUU=")</f>
        <v>#VALUE!</v>
      </c>
      <c r="BS23" t="e">
        <f>AND('Species Data'!K109,"AAAAAD0XtUY=")</f>
        <v>#VALUE!</v>
      </c>
      <c r="BT23" t="e">
        <f>AND('Species Data'!L109,"AAAAAD0XtUc=")</f>
        <v>#VALUE!</v>
      </c>
      <c r="BU23" t="e">
        <f>AND('Species Data'!M109,"AAAAAD0XtUg=")</f>
        <v>#VALUE!</v>
      </c>
      <c r="BV23" t="e">
        <f>AND('Species Data'!N109,"AAAAAD0XtUk=")</f>
        <v>#VALUE!</v>
      </c>
      <c r="BW23" t="e">
        <f>AND('Species Data'!O109,"AAAAAD0XtUo=")</f>
        <v>#VALUE!</v>
      </c>
      <c r="BX23">
        <f>IF('Species Data'!110:110,"AAAAAD0XtUs=",0)</f>
        <v>0</v>
      </c>
      <c r="BY23" t="e">
        <f>AND('Species Data'!A110,"AAAAAD0XtUw=")</f>
        <v>#VALUE!</v>
      </c>
      <c r="BZ23" t="e">
        <f>AND('Species Data'!B110,"AAAAAD0XtU0=")</f>
        <v>#VALUE!</v>
      </c>
      <c r="CA23" t="e">
        <f>AND('Species Data'!C110,"AAAAAD0XtU4=")</f>
        <v>#VALUE!</v>
      </c>
      <c r="CB23" t="e">
        <f>AND('Species Data'!D110,"AAAAAD0XtU8=")</f>
        <v>#VALUE!</v>
      </c>
      <c r="CC23" t="e">
        <f>AND('Species Data'!E110,"AAAAAD0XtVA=")</f>
        <v>#VALUE!</v>
      </c>
      <c r="CD23" t="e">
        <f>AND('Species Data'!F110,"AAAAAD0XtVE=")</f>
        <v>#VALUE!</v>
      </c>
      <c r="CE23" t="e">
        <f>AND('Species Data'!G110,"AAAAAD0XtVI=")</f>
        <v>#VALUE!</v>
      </c>
      <c r="CF23" t="e">
        <f>AND('Species Data'!H110,"AAAAAD0XtVM=")</f>
        <v>#VALUE!</v>
      </c>
      <c r="CG23" t="e">
        <f>AND('Species Data'!I110,"AAAAAD0XtVQ=")</f>
        <v>#VALUE!</v>
      </c>
      <c r="CH23" t="e">
        <f>AND('Species Data'!J110,"AAAAAD0XtVU=")</f>
        <v>#VALUE!</v>
      </c>
      <c r="CI23" t="e">
        <f>AND('Species Data'!K110,"AAAAAD0XtVY=")</f>
        <v>#VALUE!</v>
      </c>
      <c r="CJ23" t="e">
        <f>AND('Species Data'!L110,"AAAAAD0XtVc=")</f>
        <v>#VALUE!</v>
      </c>
      <c r="CK23" t="e">
        <f>AND('Species Data'!M110,"AAAAAD0XtVg=")</f>
        <v>#VALUE!</v>
      </c>
      <c r="CL23" t="e">
        <f>AND('Species Data'!N110,"AAAAAD0XtVk=")</f>
        <v>#VALUE!</v>
      </c>
      <c r="CM23" t="e">
        <f>AND('Species Data'!O110,"AAAAAD0XtVo=")</f>
        <v>#VALUE!</v>
      </c>
      <c r="CN23">
        <f>IF('Species Data'!111:111,"AAAAAD0XtVs=",0)</f>
        <v>0</v>
      </c>
      <c r="CO23" t="e">
        <f>AND('Species Data'!A111,"AAAAAD0XtVw=")</f>
        <v>#VALUE!</v>
      </c>
      <c r="CP23" t="e">
        <f>AND('Species Data'!B111,"AAAAAD0XtV0=")</f>
        <v>#VALUE!</v>
      </c>
      <c r="CQ23" t="e">
        <f>AND('Species Data'!C111,"AAAAAD0XtV4=")</f>
        <v>#VALUE!</v>
      </c>
      <c r="CR23" t="e">
        <f>AND('Species Data'!D111,"AAAAAD0XtV8=")</f>
        <v>#VALUE!</v>
      </c>
      <c r="CS23" t="e">
        <f>AND('Species Data'!E111,"AAAAAD0XtWA=")</f>
        <v>#VALUE!</v>
      </c>
      <c r="CT23" t="e">
        <f>AND('Species Data'!F111,"AAAAAD0XtWE=")</f>
        <v>#VALUE!</v>
      </c>
      <c r="CU23" t="e">
        <f>AND('Species Data'!G111,"AAAAAD0XtWI=")</f>
        <v>#VALUE!</v>
      </c>
      <c r="CV23" t="e">
        <f>AND('Species Data'!H111,"AAAAAD0XtWM=")</f>
        <v>#VALUE!</v>
      </c>
      <c r="CW23" t="e">
        <f>AND('Species Data'!I111,"AAAAAD0XtWQ=")</f>
        <v>#VALUE!</v>
      </c>
      <c r="CX23" t="e">
        <f>AND('Species Data'!J111,"AAAAAD0XtWU=")</f>
        <v>#VALUE!</v>
      </c>
      <c r="CY23" t="e">
        <f>AND('Species Data'!K111,"AAAAAD0XtWY=")</f>
        <v>#VALUE!</v>
      </c>
      <c r="CZ23" t="e">
        <f>AND('Species Data'!L111,"AAAAAD0XtWc=")</f>
        <v>#VALUE!</v>
      </c>
      <c r="DA23" t="e">
        <f>AND('Species Data'!M111,"AAAAAD0XtWg=")</f>
        <v>#VALUE!</v>
      </c>
      <c r="DB23" t="e">
        <f>AND('Species Data'!N111,"AAAAAD0XtWk=")</f>
        <v>#VALUE!</v>
      </c>
      <c r="DC23" t="e">
        <f>AND('Species Data'!O111,"AAAAAD0XtWo=")</f>
        <v>#VALUE!</v>
      </c>
      <c r="DD23">
        <f>IF('Species Data'!112:112,"AAAAAD0XtWs=",0)</f>
        <v>0</v>
      </c>
      <c r="DE23" t="e">
        <f>AND('Species Data'!A112,"AAAAAD0XtWw=")</f>
        <v>#VALUE!</v>
      </c>
      <c r="DF23" t="e">
        <f>AND('Species Data'!B112,"AAAAAD0XtW0=")</f>
        <v>#VALUE!</v>
      </c>
      <c r="DG23" t="e">
        <f>AND('Species Data'!C112,"AAAAAD0XtW4=")</f>
        <v>#VALUE!</v>
      </c>
      <c r="DH23" t="e">
        <f>AND('Species Data'!D112,"AAAAAD0XtW8=")</f>
        <v>#VALUE!</v>
      </c>
      <c r="DI23" t="e">
        <f>AND('Species Data'!E112,"AAAAAD0XtXA=")</f>
        <v>#VALUE!</v>
      </c>
      <c r="DJ23" t="e">
        <f>AND('Species Data'!F112,"AAAAAD0XtXE=")</f>
        <v>#VALUE!</v>
      </c>
      <c r="DK23" t="e">
        <f>AND('Species Data'!G112,"AAAAAD0XtXI=")</f>
        <v>#VALUE!</v>
      </c>
      <c r="DL23" t="e">
        <f>AND('Species Data'!H112,"AAAAAD0XtXM=")</f>
        <v>#VALUE!</v>
      </c>
      <c r="DM23" t="e">
        <f>AND('Species Data'!I112,"AAAAAD0XtXQ=")</f>
        <v>#VALUE!</v>
      </c>
      <c r="DN23" t="e">
        <f>AND('Species Data'!J112,"AAAAAD0XtXU=")</f>
        <v>#VALUE!</v>
      </c>
      <c r="DO23" t="e">
        <f>AND('Species Data'!K112,"AAAAAD0XtXY=")</f>
        <v>#VALUE!</v>
      </c>
      <c r="DP23" t="e">
        <f>AND('Species Data'!L112,"AAAAAD0XtXc=")</f>
        <v>#VALUE!</v>
      </c>
      <c r="DQ23" t="e">
        <f>AND('Species Data'!M112,"AAAAAD0XtXg=")</f>
        <v>#VALUE!</v>
      </c>
      <c r="DR23" t="e">
        <f>AND('Species Data'!N112,"AAAAAD0XtXk=")</f>
        <v>#VALUE!</v>
      </c>
      <c r="DS23" t="e">
        <f>AND('Species Data'!O112,"AAAAAD0XtXo=")</f>
        <v>#VALUE!</v>
      </c>
      <c r="DT23">
        <f>IF('Species Data'!113:113,"AAAAAD0XtXs=",0)</f>
        <v>0</v>
      </c>
      <c r="DU23" t="e">
        <f>AND('Species Data'!A113,"AAAAAD0XtXw=")</f>
        <v>#VALUE!</v>
      </c>
      <c r="DV23" t="e">
        <f>AND('Species Data'!B113,"AAAAAD0XtX0=")</f>
        <v>#VALUE!</v>
      </c>
      <c r="DW23" t="e">
        <f>AND('Species Data'!C113,"AAAAAD0XtX4=")</f>
        <v>#VALUE!</v>
      </c>
      <c r="DX23" t="e">
        <f>AND('Species Data'!D113,"AAAAAD0XtX8=")</f>
        <v>#VALUE!</v>
      </c>
      <c r="DY23" t="e">
        <f>AND('Species Data'!E113,"AAAAAD0XtYA=")</f>
        <v>#VALUE!</v>
      </c>
      <c r="DZ23" t="e">
        <f>AND('Species Data'!F113,"AAAAAD0XtYE=")</f>
        <v>#VALUE!</v>
      </c>
      <c r="EA23" t="e">
        <f>AND('Species Data'!G113,"AAAAAD0XtYI=")</f>
        <v>#VALUE!</v>
      </c>
      <c r="EB23" t="e">
        <f>AND('Species Data'!H113,"AAAAAD0XtYM=")</f>
        <v>#VALUE!</v>
      </c>
      <c r="EC23" t="e">
        <f>AND('Species Data'!I113,"AAAAAD0XtYQ=")</f>
        <v>#VALUE!</v>
      </c>
      <c r="ED23" t="e">
        <f>AND('Species Data'!J113,"AAAAAD0XtYU=")</f>
        <v>#VALUE!</v>
      </c>
      <c r="EE23" t="e">
        <f>AND('Species Data'!K113,"AAAAAD0XtYY=")</f>
        <v>#VALUE!</v>
      </c>
      <c r="EF23" t="e">
        <f>AND('Species Data'!L113,"AAAAAD0XtYc=")</f>
        <v>#VALUE!</v>
      </c>
      <c r="EG23" t="e">
        <f>AND('Species Data'!M113,"AAAAAD0XtYg=")</f>
        <v>#VALUE!</v>
      </c>
      <c r="EH23" t="e">
        <f>AND('Species Data'!N113,"AAAAAD0XtYk=")</f>
        <v>#VALUE!</v>
      </c>
      <c r="EI23" t="e">
        <f>AND('Species Data'!O113,"AAAAAD0XtYo=")</f>
        <v>#VALUE!</v>
      </c>
      <c r="EJ23">
        <f>IF('Species Data'!114:114,"AAAAAD0XtYs=",0)</f>
        <v>0</v>
      </c>
      <c r="EK23" t="e">
        <f>AND('Species Data'!A114,"AAAAAD0XtYw=")</f>
        <v>#VALUE!</v>
      </c>
      <c r="EL23" t="e">
        <f>AND('Species Data'!B114,"AAAAAD0XtY0=")</f>
        <v>#VALUE!</v>
      </c>
      <c r="EM23" t="e">
        <f>AND('Species Data'!C114,"AAAAAD0XtY4=")</f>
        <v>#VALUE!</v>
      </c>
      <c r="EN23" t="e">
        <f>AND('Species Data'!D114,"AAAAAD0XtY8=")</f>
        <v>#VALUE!</v>
      </c>
      <c r="EO23" t="e">
        <f>AND('Species Data'!E114,"AAAAAD0XtZA=")</f>
        <v>#VALUE!</v>
      </c>
      <c r="EP23" t="e">
        <f>AND('Species Data'!F114,"AAAAAD0XtZE=")</f>
        <v>#VALUE!</v>
      </c>
      <c r="EQ23" t="e">
        <f>AND('Species Data'!G114,"AAAAAD0XtZI=")</f>
        <v>#VALUE!</v>
      </c>
      <c r="ER23" t="e">
        <f>AND('Species Data'!H114,"AAAAAD0XtZM=")</f>
        <v>#VALUE!</v>
      </c>
      <c r="ES23" t="e">
        <f>AND('Species Data'!I114,"AAAAAD0XtZQ=")</f>
        <v>#VALUE!</v>
      </c>
      <c r="ET23" t="e">
        <f>AND('Species Data'!J114,"AAAAAD0XtZU=")</f>
        <v>#VALUE!</v>
      </c>
      <c r="EU23" t="e">
        <f>AND('Species Data'!K114,"AAAAAD0XtZY=")</f>
        <v>#VALUE!</v>
      </c>
      <c r="EV23" t="e">
        <f>AND('Species Data'!L114,"AAAAAD0XtZc=")</f>
        <v>#VALUE!</v>
      </c>
      <c r="EW23" t="e">
        <f>AND('Species Data'!M114,"AAAAAD0XtZg=")</f>
        <v>#VALUE!</v>
      </c>
      <c r="EX23" t="e">
        <f>AND('Species Data'!N114,"AAAAAD0XtZk=")</f>
        <v>#VALUE!</v>
      </c>
      <c r="EY23" t="e">
        <f>AND('Species Data'!O114,"AAAAAD0XtZo=")</f>
        <v>#VALUE!</v>
      </c>
      <c r="EZ23">
        <f>IF('Species Data'!115:115,"AAAAAD0XtZs=",0)</f>
        <v>0</v>
      </c>
      <c r="FA23" t="e">
        <f>AND('Species Data'!A115,"AAAAAD0XtZw=")</f>
        <v>#VALUE!</v>
      </c>
      <c r="FB23" t="e">
        <f>AND('Species Data'!B115,"AAAAAD0XtZ0=")</f>
        <v>#VALUE!</v>
      </c>
      <c r="FC23" t="e">
        <f>AND('Species Data'!C115,"AAAAAD0XtZ4=")</f>
        <v>#VALUE!</v>
      </c>
      <c r="FD23" t="e">
        <f>AND('Species Data'!D115,"AAAAAD0XtZ8=")</f>
        <v>#VALUE!</v>
      </c>
      <c r="FE23" t="e">
        <f>AND('Species Data'!E115,"AAAAAD0XtaA=")</f>
        <v>#VALUE!</v>
      </c>
      <c r="FF23" t="e">
        <f>AND('Species Data'!F115,"AAAAAD0XtaE=")</f>
        <v>#VALUE!</v>
      </c>
      <c r="FG23" t="e">
        <f>AND('Species Data'!G115,"AAAAAD0XtaI=")</f>
        <v>#VALUE!</v>
      </c>
      <c r="FH23" t="e">
        <f>AND('Species Data'!H115,"AAAAAD0XtaM=")</f>
        <v>#VALUE!</v>
      </c>
      <c r="FI23" t="e">
        <f>AND('Species Data'!I115,"AAAAAD0XtaQ=")</f>
        <v>#VALUE!</v>
      </c>
      <c r="FJ23" t="e">
        <f>AND('Species Data'!J115,"AAAAAD0XtaU=")</f>
        <v>#VALUE!</v>
      </c>
      <c r="FK23" t="e">
        <f>AND('Species Data'!K115,"AAAAAD0XtaY=")</f>
        <v>#VALUE!</v>
      </c>
      <c r="FL23" t="e">
        <f>AND('Species Data'!L115,"AAAAAD0Xtac=")</f>
        <v>#VALUE!</v>
      </c>
      <c r="FM23" t="e">
        <f>AND('Species Data'!M115,"AAAAAD0Xtag=")</f>
        <v>#VALUE!</v>
      </c>
      <c r="FN23" t="e">
        <f>AND('Species Data'!N115,"AAAAAD0Xtak=")</f>
        <v>#VALUE!</v>
      </c>
      <c r="FO23" t="e">
        <f>AND('Species Data'!O115,"AAAAAD0Xtao=")</f>
        <v>#VALUE!</v>
      </c>
      <c r="FP23">
        <f>IF('Species Data'!116:116,"AAAAAD0Xtas=",0)</f>
        <v>0</v>
      </c>
      <c r="FQ23" t="e">
        <f>AND('Species Data'!A116,"AAAAAD0Xtaw=")</f>
        <v>#VALUE!</v>
      </c>
      <c r="FR23" t="e">
        <f>AND('Species Data'!B116,"AAAAAD0Xta0=")</f>
        <v>#VALUE!</v>
      </c>
      <c r="FS23" t="e">
        <f>AND('Species Data'!C116,"AAAAAD0Xta4=")</f>
        <v>#VALUE!</v>
      </c>
      <c r="FT23" t="e">
        <f>AND('Species Data'!D116,"AAAAAD0Xta8=")</f>
        <v>#VALUE!</v>
      </c>
      <c r="FU23" t="e">
        <f>AND('Species Data'!E116,"AAAAAD0XtbA=")</f>
        <v>#VALUE!</v>
      </c>
      <c r="FV23" t="e">
        <f>AND('Species Data'!F116,"AAAAAD0XtbE=")</f>
        <v>#VALUE!</v>
      </c>
      <c r="FW23" t="e">
        <f>AND('Species Data'!G116,"AAAAAD0XtbI=")</f>
        <v>#VALUE!</v>
      </c>
      <c r="FX23" t="e">
        <f>AND('Species Data'!H116,"AAAAAD0XtbM=")</f>
        <v>#VALUE!</v>
      </c>
      <c r="FY23" t="e">
        <f>AND('Species Data'!I116,"AAAAAD0XtbQ=")</f>
        <v>#VALUE!</v>
      </c>
      <c r="FZ23" t="e">
        <f>AND('Species Data'!J116,"AAAAAD0XtbU=")</f>
        <v>#VALUE!</v>
      </c>
      <c r="GA23" t="e">
        <f>AND('Species Data'!K116,"AAAAAD0XtbY=")</f>
        <v>#VALUE!</v>
      </c>
      <c r="GB23" t="e">
        <f>AND('Species Data'!L116,"AAAAAD0Xtbc=")</f>
        <v>#VALUE!</v>
      </c>
      <c r="GC23" t="e">
        <f>AND('Species Data'!M116,"AAAAAD0Xtbg=")</f>
        <v>#VALUE!</v>
      </c>
      <c r="GD23" t="e">
        <f>AND('Species Data'!N116,"AAAAAD0Xtbk=")</f>
        <v>#VALUE!</v>
      </c>
      <c r="GE23" t="e">
        <f>AND('Species Data'!O116,"AAAAAD0Xtbo=")</f>
        <v>#VALUE!</v>
      </c>
      <c r="GF23">
        <f>IF('Species Data'!117:117,"AAAAAD0Xtbs=",0)</f>
        <v>0</v>
      </c>
      <c r="GG23" t="e">
        <f>AND('Species Data'!A117,"AAAAAD0Xtbw=")</f>
        <v>#VALUE!</v>
      </c>
      <c r="GH23" t="e">
        <f>AND('Species Data'!B117,"AAAAAD0Xtb0=")</f>
        <v>#VALUE!</v>
      </c>
      <c r="GI23" t="e">
        <f>AND('Species Data'!C117,"AAAAAD0Xtb4=")</f>
        <v>#VALUE!</v>
      </c>
      <c r="GJ23" t="e">
        <f>AND('Species Data'!D117,"AAAAAD0Xtb8=")</f>
        <v>#VALUE!</v>
      </c>
      <c r="GK23" t="e">
        <f>AND('Species Data'!E117,"AAAAAD0XtcA=")</f>
        <v>#VALUE!</v>
      </c>
      <c r="GL23" t="e">
        <f>AND('Species Data'!F117,"AAAAAD0XtcE=")</f>
        <v>#VALUE!</v>
      </c>
      <c r="GM23" t="e">
        <f>AND('Species Data'!G117,"AAAAAD0XtcI=")</f>
        <v>#VALUE!</v>
      </c>
      <c r="GN23" t="e">
        <f>AND('Species Data'!H117,"AAAAAD0XtcM=")</f>
        <v>#VALUE!</v>
      </c>
      <c r="GO23" t="e">
        <f>AND('Species Data'!I117,"AAAAAD0XtcQ=")</f>
        <v>#VALUE!</v>
      </c>
      <c r="GP23" t="e">
        <f>AND('Species Data'!J117,"AAAAAD0XtcU=")</f>
        <v>#VALUE!</v>
      </c>
      <c r="GQ23" t="e">
        <f>AND('Species Data'!K117,"AAAAAD0XtcY=")</f>
        <v>#VALUE!</v>
      </c>
      <c r="GR23" t="e">
        <f>AND('Species Data'!L117,"AAAAAD0Xtcc=")</f>
        <v>#VALUE!</v>
      </c>
      <c r="GS23" t="e">
        <f>AND('Species Data'!M117,"AAAAAD0Xtcg=")</f>
        <v>#VALUE!</v>
      </c>
      <c r="GT23" t="e">
        <f>AND('Species Data'!N117,"AAAAAD0Xtck=")</f>
        <v>#VALUE!</v>
      </c>
      <c r="GU23" t="e">
        <f>AND('Species Data'!O117,"AAAAAD0Xtco=")</f>
        <v>#VALUE!</v>
      </c>
      <c r="GV23">
        <f>IF('Species Data'!118:118,"AAAAAD0Xtcs=",0)</f>
        <v>0</v>
      </c>
      <c r="GW23" t="e">
        <f>AND('Species Data'!A118,"AAAAAD0Xtcw=")</f>
        <v>#VALUE!</v>
      </c>
      <c r="GX23" t="e">
        <f>AND('Species Data'!B118,"AAAAAD0Xtc0=")</f>
        <v>#VALUE!</v>
      </c>
      <c r="GY23" t="e">
        <f>AND('Species Data'!C118,"AAAAAD0Xtc4=")</f>
        <v>#VALUE!</v>
      </c>
      <c r="GZ23" t="e">
        <f>AND('Species Data'!D118,"AAAAAD0Xtc8=")</f>
        <v>#VALUE!</v>
      </c>
      <c r="HA23" t="e">
        <f>AND('Species Data'!E118,"AAAAAD0XtdA=")</f>
        <v>#VALUE!</v>
      </c>
      <c r="HB23" t="e">
        <f>AND('Species Data'!F118,"AAAAAD0XtdE=")</f>
        <v>#VALUE!</v>
      </c>
      <c r="HC23" t="e">
        <f>AND('Species Data'!G118,"AAAAAD0XtdI=")</f>
        <v>#VALUE!</v>
      </c>
      <c r="HD23" t="e">
        <f>AND('Species Data'!H118,"AAAAAD0XtdM=")</f>
        <v>#VALUE!</v>
      </c>
      <c r="HE23" t="e">
        <f>AND('Species Data'!I118,"AAAAAD0XtdQ=")</f>
        <v>#VALUE!</v>
      </c>
      <c r="HF23" t="e">
        <f>AND('Species Data'!J118,"AAAAAD0XtdU=")</f>
        <v>#VALUE!</v>
      </c>
      <c r="HG23" t="e">
        <f>AND('Species Data'!K118,"AAAAAD0XtdY=")</f>
        <v>#VALUE!</v>
      </c>
      <c r="HH23" t="e">
        <f>AND('Species Data'!L118,"AAAAAD0Xtdc=")</f>
        <v>#VALUE!</v>
      </c>
      <c r="HI23" t="e">
        <f>AND('Species Data'!M118,"AAAAAD0Xtdg=")</f>
        <v>#VALUE!</v>
      </c>
      <c r="HJ23" t="e">
        <f>AND('Species Data'!N118,"AAAAAD0Xtdk=")</f>
        <v>#VALUE!</v>
      </c>
      <c r="HK23" t="e">
        <f>AND('Species Data'!O118,"AAAAAD0Xtdo=")</f>
        <v>#VALUE!</v>
      </c>
      <c r="HL23">
        <f>IF('Species Data'!119:119,"AAAAAD0Xtds=",0)</f>
        <v>0</v>
      </c>
      <c r="HM23" t="e">
        <f>AND('Species Data'!A119,"AAAAAD0Xtdw=")</f>
        <v>#VALUE!</v>
      </c>
      <c r="HN23" t="e">
        <f>AND('Species Data'!B119,"AAAAAD0Xtd0=")</f>
        <v>#VALUE!</v>
      </c>
      <c r="HO23" t="e">
        <f>AND('Species Data'!C119,"AAAAAD0Xtd4=")</f>
        <v>#VALUE!</v>
      </c>
      <c r="HP23" t="e">
        <f>AND('Species Data'!D119,"AAAAAD0Xtd8=")</f>
        <v>#VALUE!</v>
      </c>
      <c r="HQ23" t="e">
        <f>AND('Species Data'!E119,"AAAAAD0XteA=")</f>
        <v>#VALUE!</v>
      </c>
      <c r="HR23" t="e">
        <f>AND('Species Data'!F119,"AAAAAD0XteE=")</f>
        <v>#VALUE!</v>
      </c>
      <c r="HS23" t="e">
        <f>AND('Species Data'!G119,"AAAAAD0XteI=")</f>
        <v>#VALUE!</v>
      </c>
      <c r="HT23" t="e">
        <f>AND('Species Data'!H119,"AAAAAD0XteM=")</f>
        <v>#VALUE!</v>
      </c>
      <c r="HU23" t="e">
        <f>AND('Species Data'!I119,"AAAAAD0XteQ=")</f>
        <v>#VALUE!</v>
      </c>
      <c r="HV23" t="e">
        <f>AND('Species Data'!J119,"AAAAAD0XteU=")</f>
        <v>#VALUE!</v>
      </c>
      <c r="HW23" t="e">
        <f>AND('Species Data'!K119,"AAAAAD0XteY=")</f>
        <v>#VALUE!</v>
      </c>
      <c r="HX23" t="e">
        <f>AND('Species Data'!L119,"AAAAAD0Xtec=")</f>
        <v>#VALUE!</v>
      </c>
      <c r="HY23" t="e">
        <f>AND('Species Data'!M119,"AAAAAD0Xteg=")</f>
        <v>#VALUE!</v>
      </c>
      <c r="HZ23" t="e">
        <f>AND('Species Data'!N119,"AAAAAD0Xtek=")</f>
        <v>#VALUE!</v>
      </c>
      <c r="IA23" t="e">
        <f>AND('Species Data'!O119,"AAAAAD0Xteo=")</f>
        <v>#VALUE!</v>
      </c>
      <c r="IB23">
        <f>IF('Species Data'!120:120,"AAAAAD0Xtes=",0)</f>
        <v>0</v>
      </c>
      <c r="IC23" t="e">
        <f>AND('Species Data'!A120,"AAAAAD0Xtew=")</f>
        <v>#VALUE!</v>
      </c>
      <c r="ID23" t="e">
        <f>AND('Species Data'!B120,"AAAAAD0Xte0=")</f>
        <v>#VALUE!</v>
      </c>
      <c r="IE23" t="e">
        <f>AND('Species Data'!C120,"AAAAAD0Xte4=")</f>
        <v>#VALUE!</v>
      </c>
      <c r="IF23" t="e">
        <f>AND('Species Data'!D120,"AAAAAD0Xte8=")</f>
        <v>#VALUE!</v>
      </c>
      <c r="IG23" t="e">
        <f>AND('Species Data'!E120,"AAAAAD0XtfA=")</f>
        <v>#VALUE!</v>
      </c>
      <c r="IH23" t="e">
        <f>AND('Species Data'!F120,"AAAAAD0XtfE=")</f>
        <v>#VALUE!</v>
      </c>
      <c r="II23" t="e">
        <f>AND('Species Data'!G120,"AAAAAD0XtfI=")</f>
        <v>#VALUE!</v>
      </c>
      <c r="IJ23" t="e">
        <f>AND('Species Data'!H120,"AAAAAD0XtfM=")</f>
        <v>#VALUE!</v>
      </c>
      <c r="IK23" t="e">
        <f>AND('Species Data'!I120,"AAAAAD0XtfQ=")</f>
        <v>#VALUE!</v>
      </c>
      <c r="IL23" t="e">
        <f>AND('Species Data'!J120,"AAAAAD0XtfU=")</f>
        <v>#VALUE!</v>
      </c>
      <c r="IM23" t="e">
        <f>AND('Species Data'!K120,"AAAAAD0XtfY=")</f>
        <v>#VALUE!</v>
      </c>
      <c r="IN23" t="e">
        <f>AND('Species Data'!L120,"AAAAAD0Xtfc=")</f>
        <v>#VALUE!</v>
      </c>
      <c r="IO23" t="e">
        <f>AND('Species Data'!M120,"AAAAAD0Xtfg=")</f>
        <v>#VALUE!</v>
      </c>
      <c r="IP23" t="e">
        <f>AND('Species Data'!N120,"AAAAAD0Xtfk=")</f>
        <v>#VALUE!</v>
      </c>
      <c r="IQ23" t="e">
        <f>AND('Species Data'!O120,"AAAAAD0Xtfo=")</f>
        <v>#VALUE!</v>
      </c>
      <c r="IR23">
        <f>IF('Species Data'!121:121,"AAAAAD0Xtfs=",0)</f>
        <v>0</v>
      </c>
      <c r="IS23" t="e">
        <f>AND('Species Data'!A121,"AAAAAD0Xtfw=")</f>
        <v>#VALUE!</v>
      </c>
      <c r="IT23" t="e">
        <f>AND('Species Data'!B121,"AAAAAD0Xtf0=")</f>
        <v>#VALUE!</v>
      </c>
      <c r="IU23" t="e">
        <f>AND('Species Data'!C121,"AAAAAD0Xtf4=")</f>
        <v>#VALUE!</v>
      </c>
      <c r="IV23" t="e">
        <f>AND('Species Data'!D121,"AAAAAD0Xtf8=")</f>
        <v>#VALUE!</v>
      </c>
    </row>
    <row r="24" spans="1:256">
      <c r="A24" t="e">
        <f>AND('Species Data'!E121,"AAAAAH8n/wA=")</f>
        <v>#VALUE!</v>
      </c>
      <c r="B24" t="e">
        <f>AND('Species Data'!F121,"AAAAAH8n/wE=")</f>
        <v>#VALUE!</v>
      </c>
      <c r="C24" t="e">
        <f>AND('Species Data'!G121,"AAAAAH8n/wI=")</f>
        <v>#VALUE!</v>
      </c>
      <c r="D24" t="e">
        <f>AND('Species Data'!H121,"AAAAAH8n/wM=")</f>
        <v>#VALUE!</v>
      </c>
      <c r="E24" t="e">
        <f>AND('Species Data'!I121,"AAAAAH8n/wQ=")</f>
        <v>#VALUE!</v>
      </c>
      <c r="F24" t="e">
        <f>AND('Species Data'!J121,"AAAAAH8n/wU=")</f>
        <v>#VALUE!</v>
      </c>
      <c r="G24" t="e">
        <f>AND('Species Data'!K121,"AAAAAH8n/wY=")</f>
        <v>#VALUE!</v>
      </c>
      <c r="H24" t="e">
        <f>AND('Species Data'!L121,"AAAAAH8n/wc=")</f>
        <v>#VALUE!</v>
      </c>
      <c r="I24" t="e">
        <f>AND('Species Data'!M121,"AAAAAH8n/wg=")</f>
        <v>#VALUE!</v>
      </c>
      <c r="J24" t="e">
        <f>AND('Species Data'!N121,"AAAAAH8n/wk=")</f>
        <v>#VALUE!</v>
      </c>
      <c r="K24" t="e">
        <f>AND('Species Data'!O121,"AAAAAH8n/wo=")</f>
        <v>#VALUE!</v>
      </c>
      <c r="L24" t="str">
        <f>IF('Species Data'!122:122,"AAAAAH8n/ws=",0)</f>
        <v>AAAAAH8n/ws=</v>
      </c>
      <c r="M24" t="e">
        <f>AND('Species Data'!A122,"AAAAAH8n/ww=")</f>
        <v>#VALUE!</v>
      </c>
      <c r="N24" t="e">
        <f>AND('Species Data'!B122,"AAAAAH8n/w0=")</f>
        <v>#VALUE!</v>
      </c>
      <c r="O24" t="e">
        <f>AND('Species Data'!C122,"AAAAAH8n/w4=")</f>
        <v>#VALUE!</v>
      </c>
      <c r="P24" t="e">
        <f>AND('Species Data'!D122,"AAAAAH8n/w8=")</f>
        <v>#VALUE!</v>
      </c>
      <c r="Q24" t="e">
        <f>AND('Species Data'!E122,"AAAAAH8n/xA=")</f>
        <v>#VALUE!</v>
      </c>
      <c r="R24" t="e">
        <f>AND('Species Data'!F122,"AAAAAH8n/xE=")</f>
        <v>#VALUE!</v>
      </c>
      <c r="S24" t="e">
        <f>AND('Species Data'!G122,"AAAAAH8n/xI=")</f>
        <v>#VALUE!</v>
      </c>
      <c r="T24" t="e">
        <f>AND('Species Data'!H122,"AAAAAH8n/xM=")</f>
        <v>#VALUE!</v>
      </c>
      <c r="U24" t="e">
        <f>AND('Species Data'!I122,"AAAAAH8n/xQ=")</f>
        <v>#VALUE!</v>
      </c>
      <c r="V24" t="e">
        <f>AND('Species Data'!J122,"AAAAAH8n/xU=")</f>
        <v>#VALUE!</v>
      </c>
      <c r="W24" t="e">
        <f>AND('Species Data'!K122,"AAAAAH8n/xY=")</f>
        <v>#VALUE!</v>
      </c>
      <c r="X24" t="e">
        <f>AND('Species Data'!L122,"AAAAAH8n/xc=")</f>
        <v>#VALUE!</v>
      </c>
      <c r="Y24" t="e">
        <f>AND('Species Data'!M122,"AAAAAH8n/xg=")</f>
        <v>#VALUE!</v>
      </c>
      <c r="Z24" t="e">
        <f>AND('Species Data'!N122,"AAAAAH8n/xk=")</f>
        <v>#VALUE!</v>
      </c>
      <c r="AA24" t="e">
        <f>AND('Species Data'!O122,"AAAAAH8n/xo=")</f>
        <v>#VALUE!</v>
      </c>
      <c r="AB24">
        <f>IF('Species Data'!123:123,"AAAAAH8n/xs=",0)</f>
        <v>0</v>
      </c>
      <c r="AC24" t="e">
        <f>AND('Species Data'!A123,"AAAAAH8n/xw=")</f>
        <v>#VALUE!</v>
      </c>
      <c r="AD24" t="e">
        <f>AND('Species Data'!B123,"AAAAAH8n/x0=")</f>
        <v>#VALUE!</v>
      </c>
      <c r="AE24" t="e">
        <f>AND('Species Data'!C123,"AAAAAH8n/x4=")</f>
        <v>#VALUE!</v>
      </c>
      <c r="AF24" t="e">
        <f>AND('Species Data'!D123,"AAAAAH8n/x8=")</f>
        <v>#VALUE!</v>
      </c>
      <c r="AG24" t="e">
        <f>AND('Species Data'!E123,"AAAAAH8n/yA=")</f>
        <v>#VALUE!</v>
      </c>
      <c r="AH24" t="e">
        <f>AND('Species Data'!F123,"AAAAAH8n/yE=")</f>
        <v>#VALUE!</v>
      </c>
      <c r="AI24" t="e">
        <f>AND('Species Data'!G123,"AAAAAH8n/yI=")</f>
        <v>#VALUE!</v>
      </c>
      <c r="AJ24" t="e">
        <f>AND('Species Data'!H123,"AAAAAH8n/yM=")</f>
        <v>#VALUE!</v>
      </c>
      <c r="AK24" t="e">
        <f>AND('Species Data'!I123,"AAAAAH8n/yQ=")</f>
        <v>#VALUE!</v>
      </c>
      <c r="AL24" t="e">
        <f>AND('Species Data'!J123,"AAAAAH8n/yU=")</f>
        <v>#VALUE!</v>
      </c>
      <c r="AM24" t="e">
        <f>AND('Species Data'!K123,"AAAAAH8n/yY=")</f>
        <v>#VALUE!</v>
      </c>
      <c r="AN24" t="e">
        <f>AND('Species Data'!L123,"AAAAAH8n/yc=")</f>
        <v>#VALUE!</v>
      </c>
      <c r="AO24" t="e">
        <f>AND('Species Data'!M123,"AAAAAH8n/yg=")</f>
        <v>#VALUE!</v>
      </c>
      <c r="AP24" t="e">
        <f>AND('Species Data'!N123,"AAAAAH8n/yk=")</f>
        <v>#VALUE!</v>
      </c>
      <c r="AQ24" t="e">
        <f>AND('Species Data'!O123,"AAAAAH8n/yo=")</f>
        <v>#VALUE!</v>
      </c>
      <c r="AR24">
        <f>IF('Species Data'!124:124,"AAAAAH8n/ys=",0)</f>
        <v>0</v>
      </c>
      <c r="AS24" t="e">
        <f>AND('Species Data'!A124,"AAAAAH8n/yw=")</f>
        <v>#VALUE!</v>
      </c>
      <c r="AT24" t="e">
        <f>AND('Species Data'!B124,"AAAAAH8n/y0=")</f>
        <v>#VALUE!</v>
      </c>
      <c r="AU24" t="e">
        <f>AND('Species Data'!C124,"AAAAAH8n/y4=")</f>
        <v>#VALUE!</v>
      </c>
      <c r="AV24" t="e">
        <f>AND('Species Data'!D124,"AAAAAH8n/y8=")</f>
        <v>#VALUE!</v>
      </c>
      <c r="AW24" t="e">
        <f>AND('Species Data'!E124,"AAAAAH8n/zA=")</f>
        <v>#VALUE!</v>
      </c>
      <c r="AX24" t="e">
        <f>AND('Species Data'!F124,"AAAAAH8n/zE=")</f>
        <v>#VALUE!</v>
      </c>
      <c r="AY24" t="e">
        <f>AND('Species Data'!G124,"AAAAAH8n/zI=")</f>
        <v>#VALUE!</v>
      </c>
      <c r="AZ24" t="e">
        <f>AND('Species Data'!H124,"AAAAAH8n/zM=")</f>
        <v>#VALUE!</v>
      </c>
      <c r="BA24" t="e">
        <f>AND('Species Data'!I124,"AAAAAH8n/zQ=")</f>
        <v>#VALUE!</v>
      </c>
      <c r="BB24" t="e">
        <f>AND('Species Data'!J124,"AAAAAH8n/zU=")</f>
        <v>#VALUE!</v>
      </c>
      <c r="BC24" t="e">
        <f>AND('Species Data'!K124,"AAAAAH8n/zY=")</f>
        <v>#VALUE!</v>
      </c>
      <c r="BD24" t="e">
        <f>AND('Species Data'!L124,"AAAAAH8n/zc=")</f>
        <v>#VALUE!</v>
      </c>
      <c r="BE24" t="e">
        <f>AND('Species Data'!M124,"AAAAAH8n/zg=")</f>
        <v>#VALUE!</v>
      </c>
      <c r="BF24" t="e">
        <f>AND('Species Data'!N124,"AAAAAH8n/zk=")</f>
        <v>#VALUE!</v>
      </c>
      <c r="BG24" t="e">
        <f>AND('Species Data'!O124,"AAAAAH8n/zo=")</f>
        <v>#VALUE!</v>
      </c>
      <c r="BH24">
        <f>IF('Species Data'!125:125,"AAAAAH8n/zs=",0)</f>
        <v>0</v>
      </c>
      <c r="BI24" t="e">
        <f>AND('Species Data'!A125,"AAAAAH8n/zw=")</f>
        <v>#VALUE!</v>
      </c>
      <c r="BJ24" t="e">
        <f>AND('Species Data'!B125,"AAAAAH8n/z0=")</f>
        <v>#VALUE!</v>
      </c>
      <c r="BK24" t="e">
        <f>AND('Species Data'!C125,"AAAAAH8n/z4=")</f>
        <v>#VALUE!</v>
      </c>
      <c r="BL24" t="e">
        <f>AND('Species Data'!D125,"AAAAAH8n/z8=")</f>
        <v>#VALUE!</v>
      </c>
      <c r="BM24" t="e">
        <f>AND('Species Data'!E125,"AAAAAH8n/0A=")</f>
        <v>#VALUE!</v>
      </c>
      <c r="BN24" t="e">
        <f>AND('Species Data'!F125,"AAAAAH8n/0E=")</f>
        <v>#VALUE!</v>
      </c>
      <c r="BO24" t="e">
        <f>AND('Species Data'!G125,"AAAAAH8n/0I=")</f>
        <v>#VALUE!</v>
      </c>
      <c r="BP24" t="e">
        <f>AND('Species Data'!H125,"AAAAAH8n/0M=")</f>
        <v>#VALUE!</v>
      </c>
      <c r="BQ24" t="e">
        <f>AND('Species Data'!I125,"AAAAAH8n/0Q=")</f>
        <v>#VALUE!</v>
      </c>
      <c r="BR24" t="e">
        <f>AND('Species Data'!J125,"AAAAAH8n/0U=")</f>
        <v>#VALUE!</v>
      </c>
      <c r="BS24" t="e">
        <f>AND('Species Data'!K125,"AAAAAH8n/0Y=")</f>
        <v>#VALUE!</v>
      </c>
      <c r="BT24" t="e">
        <f>AND('Species Data'!L125,"AAAAAH8n/0c=")</f>
        <v>#VALUE!</v>
      </c>
      <c r="BU24" t="e">
        <f>AND('Species Data'!M125,"AAAAAH8n/0g=")</f>
        <v>#VALUE!</v>
      </c>
      <c r="BV24" t="e">
        <f>AND('Species Data'!N125,"AAAAAH8n/0k=")</f>
        <v>#VALUE!</v>
      </c>
      <c r="BW24" t="e">
        <f>AND('Species Data'!O125,"AAAAAH8n/0o=")</f>
        <v>#VALUE!</v>
      </c>
      <c r="BX24">
        <f>IF('Species Data'!126:126,"AAAAAH8n/0s=",0)</f>
        <v>0</v>
      </c>
      <c r="BY24" t="e">
        <f>AND('Species Data'!A126,"AAAAAH8n/0w=")</f>
        <v>#VALUE!</v>
      </c>
      <c r="BZ24" t="e">
        <f>AND('Species Data'!B126,"AAAAAH8n/00=")</f>
        <v>#VALUE!</v>
      </c>
      <c r="CA24" t="e">
        <f>AND('Species Data'!C126,"AAAAAH8n/04=")</f>
        <v>#VALUE!</v>
      </c>
      <c r="CB24" t="e">
        <f>AND('Species Data'!D126,"AAAAAH8n/08=")</f>
        <v>#VALUE!</v>
      </c>
      <c r="CC24" t="e">
        <f>AND('Species Data'!E126,"AAAAAH8n/1A=")</f>
        <v>#VALUE!</v>
      </c>
      <c r="CD24" t="e">
        <f>AND('Species Data'!F126,"AAAAAH8n/1E=")</f>
        <v>#VALUE!</v>
      </c>
      <c r="CE24" t="e">
        <f>AND('Species Data'!G126,"AAAAAH8n/1I=")</f>
        <v>#VALUE!</v>
      </c>
      <c r="CF24" t="e">
        <f>AND('Species Data'!H126,"AAAAAH8n/1M=")</f>
        <v>#VALUE!</v>
      </c>
      <c r="CG24" t="e">
        <f>AND('Species Data'!I126,"AAAAAH8n/1Q=")</f>
        <v>#VALUE!</v>
      </c>
      <c r="CH24" t="e">
        <f>AND('Species Data'!J126,"AAAAAH8n/1U=")</f>
        <v>#VALUE!</v>
      </c>
      <c r="CI24" t="e">
        <f>AND('Species Data'!K126,"AAAAAH8n/1Y=")</f>
        <v>#VALUE!</v>
      </c>
      <c r="CJ24" t="e">
        <f>AND('Species Data'!L126,"AAAAAH8n/1c=")</f>
        <v>#VALUE!</v>
      </c>
      <c r="CK24" t="e">
        <f>AND('Species Data'!M126,"AAAAAH8n/1g=")</f>
        <v>#VALUE!</v>
      </c>
      <c r="CL24" t="e">
        <f>AND('Species Data'!N126,"AAAAAH8n/1k=")</f>
        <v>#VALUE!</v>
      </c>
      <c r="CM24" t="e">
        <f>AND('Species Data'!O126,"AAAAAH8n/1o=")</f>
        <v>#VALUE!</v>
      </c>
      <c r="CN24">
        <f>IF('Species Data'!127:127,"AAAAAH8n/1s=",0)</f>
        <v>0</v>
      </c>
      <c r="CO24" t="e">
        <f>AND('Species Data'!A127,"AAAAAH8n/1w=")</f>
        <v>#VALUE!</v>
      </c>
      <c r="CP24" t="e">
        <f>AND('Species Data'!B127,"AAAAAH8n/10=")</f>
        <v>#VALUE!</v>
      </c>
      <c r="CQ24" t="e">
        <f>AND('Species Data'!C127,"AAAAAH8n/14=")</f>
        <v>#VALUE!</v>
      </c>
      <c r="CR24" t="e">
        <f>AND('Species Data'!D127,"AAAAAH8n/18=")</f>
        <v>#VALUE!</v>
      </c>
      <c r="CS24" t="e">
        <f>AND('Species Data'!E127,"AAAAAH8n/2A=")</f>
        <v>#VALUE!</v>
      </c>
      <c r="CT24" t="e">
        <f>AND('Species Data'!F127,"AAAAAH8n/2E=")</f>
        <v>#VALUE!</v>
      </c>
      <c r="CU24" t="e">
        <f>AND('Species Data'!G127,"AAAAAH8n/2I=")</f>
        <v>#VALUE!</v>
      </c>
      <c r="CV24" t="e">
        <f>AND('Species Data'!H127,"AAAAAH8n/2M=")</f>
        <v>#VALUE!</v>
      </c>
      <c r="CW24" t="e">
        <f>AND('Species Data'!I127,"AAAAAH8n/2Q=")</f>
        <v>#VALUE!</v>
      </c>
      <c r="CX24" t="e">
        <f>AND('Species Data'!J127,"AAAAAH8n/2U=")</f>
        <v>#VALUE!</v>
      </c>
      <c r="CY24" t="e">
        <f>AND('Species Data'!K127,"AAAAAH8n/2Y=")</f>
        <v>#VALUE!</v>
      </c>
      <c r="CZ24" t="e">
        <f>AND('Species Data'!L127,"AAAAAH8n/2c=")</f>
        <v>#VALUE!</v>
      </c>
      <c r="DA24" t="e">
        <f>AND('Species Data'!M127,"AAAAAH8n/2g=")</f>
        <v>#VALUE!</v>
      </c>
      <c r="DB24" t="e">
        <f>AND('Species Data'!N127,"AAAAAH8n/2k=")</f>
        <v>#VALUE!</v>
      </c>
      <c r="DC24" t="e">
        <f>AND('Species Data'!O127,"AAAAAH8n/2o=")</f>
        <v>#VALUE!</v>
      </c>
      <c r="DD24">
        <f>IF('Species Data'!128:128,"AAAAAH8n/2s=",0)</f>
        <v>0</v>
      </c>
      <c r="DE24" t="e">
        <f>AND('Species Data'!A128,"AAAAAH8n/2w=")</f>
        <v>#VALUE!</v>
      </c>
      <c r="DF24" t="e">
        <f>AND('Species Data'!B128,"AAAAAH8n/20=")</f>
        <v>#VALUE!</v>
      </c>
      <c r="DG24" t="e">
        <f>AND('Species Data'!C128,"AAAAAH8n/24=")</f>
        <v>#VALUE!</v>
      </c>
      <c r="DH24" t="e">
        <f>AND('Species Data'!D128,"AAAAAH8n/28=")</f>
        <v>#VALUE!</v>
      </c>
      <c r="DI24" t="e">
        <f>AND('Species Data'!E128,"AAAAAH8n/3A=")</f>
        <v>#VALUE!</v>
      </c>
      <c r="DJ24" t="e">
        <f>AND('Species Data'!F128,"AAAAAH8n/3E=")</f>
        <v>#VALUE!</v>
      </c>
      <c r="DK24" t="e">
        <f>AND('Species Data'!G128,"AAAAAH8n/3I=")</f>
        <v>#VALUE!</v>
      </c>
      <c r="DL24" t="e">
        <f>AND('Species Data'!H128,"AAAAAH8n/3M=")</f>
        <v>#VALUE!</v>
      </c>
      <c r="DM24" t="e">
        <f>AND('Species Data'!I128,"AAAAAH8n/3Q=")</f>
        <v>#VALUE!</v>
      </c>
      <c r="DN24" t="e">
        <f>AND('Species Data'!J128,"AAAAAH8n/3U=")</f>
        <v>#VALUE!</v>
      </c>
      <c r="DO24" t="e">
        <f>AND('Species Data'!K128,"AAAAAH8n/3Y=")</f>
        <v>#VALUE!</v>
      </c>
      <c r="DP24" t="e">
        <f>AND('Species Data'!L128,"AAAAAH8n/3c=")</f>
        <v>#VALUE!</v>
      </c>
      <c r="DQ24" t="e">
        <f>AND('Species Data'!M128,"AAAAAH8n/3g=")</f>
        <v>#VALUE!</v>
      </c>
      <c r="DR24" t="e">
        <f>AND('Species Data'!N128,"AAAAAH8n/3k=")</f>
        <v>#VALUE!</v>
      </c>
      <c r="DS24" t="e">
        <f>AND('Species Data'!O128,"AAAAAH8n/3o=")</f>
        <v>#VALUE!</v>
      </c>
      <c r="DT24">
        <f>IF('Species Data'!129:129,"AAAAAH8n/3s=",0)</f>
        <v>0</v>
      </c>
      <c r="DU24" t="e">
        <f>AND('Species Data'!A129,"AAAAAH8n/3w=")</f>
        <v>#VALUE!</v>
      </c>
      <c r="DV24" t="e">
        <f>AND('Species Data'!B129,"AAAAAH8n/30=")</f>
        <v>#VALUE!</v>
      </c>
      <c r="DW24" t="e">
        <f>AND('Species Data'!C129,"AAAAAH8n/34=")</f>
        <v>#VALUE!</v>
      </c>
      <c r="DX24" t="e">
        <f>AND('Species Data'!D129,"AAAAAH8n/38=")</f>
        <v>#VALUE!</v>
      </c>
      <c r="DY24" t="e">
        <f>AND('Species Data'!E129,"AAAAAH8n/4A=")</f>
        <v>#VALUE!</v>
      </c>
      <c r="DZ24" t="e">
        <f>AND('Species Data'!F129,"AAAAAH8n/4E=")</f>
        <v>#VALUE!</v>
      </c>
      <c r="EA24" t="e">
        <f>AND('Species Data'!G129,"AAAAAH8n/4I=")</f>
        <v>#VALUE!</v>
      </c>
      <c r="EB24" t="e">
        <f>AND('Species Data'!H129,"AAAAAH8n/4M=")</f>
        <v>#VALUE!</v>
      </c>
      <c r="EC24" t="e">
        <f>AND('Species Data'!I129,"AAAAAH8n/4Q=")</f>
        <v>#VALUE!</v>
      </c>
      <c r="ED24" t="e">
        <f>AND('Species Data'!J129,"AAAAAH8n/4U=")</f>
        <v>#VALUE!</v>
      </c>
      <c r="EE24" t="e">
        <f>AND('Species Data'!K129,"AAAAAH8n/4Y=")</f>
        <v>#VALUE!</v>
      </c>
      <c r="EF24" t="e">
        <f>AND('Species Data'!L129,"AAAAAH8n/4c=")</f>
        <v>#VALUE!</v>
      </c>
      <c r="EG24" t="e">
        <f>AND('Species Data'!M129,"AAAAAH8n/4g=")</f>
        <v>#VALUE!</v>
      </c>
      <c r="EH24" t="e">
        <f>AND('Species Data'!N129,"AAAAAH8n/4k=")</f>
        <v>#VALUE!</v>
      </c>
      <c r="EI24" t="e">
        <f>AND('Species Data'!O129,"AAAAAH8n/4o=")</f>
        <v>#VALUE!</v>
      </c>
      <c r="EJ24">
        <f>IF('Species Data'!130:130,"AAAAAH8n/4s=",0)</f>
        <v>0</v>
      </c>
      <c r="EK24" t="e">
        <f>AND('Species Data'!A130,"AAAAAH8n/4w=")</f>
        <v>#VALUE!</v>
      </c>
      <c r="EL24" t="e">
        <f>AND('Species Data'!B130,"AAAAAH8n/40=")</f>
        <v>#VALUE!</v>
      </c>
      <c r="EM24" t="e">
        <f>AND('Species Data'!C130,"AAAAAH8n/44=")</f>
        <v>#VALUE!</v>
      </c>
      <c r="EN24" t="e">
        <f>AND('Species Data'!D130,"AAAAAH8n/48=")</f>
        <v>#VALUE!</v>
      </c>
      <c r="EO24" t="e">
        <f>AND('Species Data'!E130,"AAAAAH8n/5A=")</f>
        <v>#VALUE!</v>
      </c>
      <c r="EP24" t="e">
        <f>AND('Species Data'!F130,"AAAAAH8n/5E=")</f>
        <v>#VALUE!</v>
      </c>
      <c r="EQ24" t="e">
        <f>AND('Species Data'!G130,"AAAAAH8n/5I=")</f>
        <v>#VALUE!</v>
      </c>
      <c r="ER24" t="e">
        <f>AND('Species Data'!H130,"AAAAAH8n/5M=")</f>
        <v>#VALUE!</v>
      </c>
      <c r="ES24" t="e">
        <f>AND('Species Data'!I130,"AAAAAH8n/5Q=")</f>
        <v>#VALUE!</v>
      </c>
      <c r="ET24" t="e">
        <f>AND('Species Data'!J130,"AAAAAH8n/5U=")</f>
        <v>#VALUE!</v>
      </c>
      <c r="EU24" t="e">
        <f>AND('Species Data'!K130,"AAAAAH8n/5Y=")</f>
        <v>#VALUE!</v>
      </c>
      <c r="EV24" t="e">
        <f>AND('Species Data'!L130,"AAAAAH8n/5c=")</f>
        <v>#VALUE!</v>
      </c>
      <c r="EW24" t="e">
        <f>AND('Species Data'!M130,"AAAAAH8n/5g=")</f>
        <v>#VALUE!</v>
      </c>
      <c r="EX24" t="e">
        <f>AND('Species Data'!N130,"AAAAAH8n/5k=")</f>
        <v>#VALUE!</v>
      </c>
      <c r="EY24" t="e">
        <f>AND('Species Data'!O130,"AAAAAH8n/5o=")</f>
        <v>#VALUE!</v>
      </c>
      <c r="EZ24">
        <f>IF('Species Data'!131:131,"AAAAAH8n/5s=",0)</f>
        <v>0</v>
      </c>
      <c r="FA24" t="e">
        <f>AND('Species Data'!A131,"AAAAAH8n/5w=")</f>
        <v>#VALUE!</v>
      </c>
      <c r="FB24" t="e">
        <f>AND('Species Data'!B131,"AAAAAH8n/50=")</f>
        <v>#VALUE!</v>
      </c>
      <c r="FC24" t="e">
        <f>AND('Species Data'!C131,"AAAAAH8n/54=")</f>
        <v>#VALUE!</v>
      </c>
      <c r="FD24" t="e">
        <f>AND('Species Data'!D131,"AAAAAH8n/58=")</f>
        <v>#VALUE!</v>
      </c>
      <c r="FE24" t="e">
        <f>AND('Species Data'!E131,"AAAAAH8n/6A=")</f>
        <v>#VALUE!</v>
      </c>
      <c r="FF24" t="e">
        <f>AND('Species Data'!F131,"AAAAAH8n/6E=")</f>
        <v>#VALUE!</v>
      </c>
      <c r="FG24" t="e">
        <f>AND('Species Data'!G131,"AAAAAH8n/6I=")</f>
        <v>#VALUE!</v>
      </c>
      <c r="FH24" t="e">
        <f>AND('Species Data'!H131,"AAAAAH8n/6M=")</f>
        <v>#VALUE!</v>
      </c>
      <c r="FI24" t="e">
        <f>AND('Species Data'!I131,"AAAAAH8n/6Q=")</f>
        <v>#VALUE!</v>
      </c>
      <c r="FJ24" t="e">
        <f>AND('Species Data'!J131,"AAAAAH8n/6U=")</f>
        <v>#VALUE!</v>
      </c>
      <c r="FK24" t="e">
        <f>AND('Species Data'!K131,"AAAAAH8n/6Y=")</f>
        <v>#VALUE!</v>
      </c>
      <c r="FL24" t="e">
        <f>AND('Species Data'!L131,"AAAAAH8n/6c=")</f>
        <v>#VALUE!</v>
      </c>
      <c r="FM24" t="e">
        <f>AND('Species Data'!M131,"AAAAAH8n/6g=")</f>
        <v>#VALUE!</v>
      </c>
      <c r="FN24" t="e">
        <f>AND('Species Data'!N131,"AAAAAH8n/6k=")</f>
        <v>#VALUE!</v>
      </c>
      <c r="FO24" t="e">
        <f>AND('Species Data'!O131,"AAAAAH8n/6o=")</f>
        <v>#VALUE!</v>
      </c>
      <c r="FP24">
        <f>IF('Species Data'!132:132,"AAAAAH8n/6s=",0)</f>
        <v>0</v>
      </c>
      <c r="FQ24" t="e">
        <f>AND('Species Data'!A132,"AAAAAH8n/6w=")</f>
        <v>#VALUE!</v>
      </c>
      <c r="FR24" t="e">
        <f>AND('Species Data'!B132,"AAAAAH8n/60=")</f>
        <v>#VALUE!</v>
      </c>
      <c r="FS24" t="e">
        <f>AND('Species Data'!C132,"AAAAAH8n/64=")</f>
        <v>#VALUE!</v>
      </c>
      <c r="FT24" t="e">
        <f>AND('Species Data'!D132,"AAAAAH8n/68=")</f>
        <v>#VALUE!</v>
      </c>
      <c r="FU24" t="e">
        <f>AND('Species Data'!E132,"AAAAAH8n/7A=")</f>
        <v>#VALUE!</v>
      </c>
      <c r="FV24" t="e">
        <f>AND('Species Data'!F132,"AAAAAH8n/7E=")</f>
        <v>#VALUE!</v>
      </c>
      <c r="FW24" t="e">
        <f>AND('Species Data'!G132,"AAAAAH8n/7I=")</f>
        <v>#VALUE!</v>
      </c>
      <c r="FX24" t="e">
        <f>AND('Species Data'!H132,"AAAAAH8n/7M=")</f>
        <v>#VALUE!</v>
      </c>
      <c r="FY24" t="e">
        <f>AND('Species Data'!I132,"AAAAAH8n/7Q=")</f>
        <v>#VALUE!</v>
      </c>
      <c r="FZ24" t="e">
        <f>AND('Species Data'!J132,"AAAAAH8n/7U=")</f>
        <v>#VALUE!</v>
      </c>
      <c r="GA24" t="e">
        <f>AND('Species Data'!K132,"AAAAAH8n/7Y=")</f>
        <v>#VALUE!</v>
      </c>
      <c r="GB24" t="e">
        <f>AND('Species Data'!L132,"AAAAAH8n/7c=")</f>
        <v>#VALUE!</v>
      </c>
      <c r="GC24" t="e">
        <f>AND('Species Data'!M132,"AAAAAH8n/7g=")</f>
        <v>#VALUE!</v>
      </c>
      <c r="GD24" t="e">
        <f>AND('Species Data'!N132,"AAAAAH8n/7k=")</f>
        <v>#VALUE!</v>
      </c>
      <c r="GE24" t="e">
        <f>AND('Species Data'!O132,"AAAAAH8n/7o=")</f>
        <v>#VALUE!</v>
      </c>
      <c r="GF24">
        <f>IF('Species Data'!133:133,"AAAAAH8n/7s=",0)</f>
        <v>0</v>
      </c>
      <c r="GG24" t="e">
        <f>AND('Species Data'!A133,"AAAAAH8n/7w=")</f>
        <v>#VALUE!</v>
      </c>
      <c r="GH24" t="e">
        <f>AND('Species Data'!B133,"AAAAAH8n/70=")</f>
        <v>#VALUE!</v>
      </c>
      <c r="GI24" t="e">
        <f>AND('Species Data'!C133,"AAAAAH8n/74=")</f>
        <v>#VALUE!</v>
      </c>
      <c r="GJ24" t="e">
        <f>AND('Species Data'!D133,"AAAAAH8n/78=")</f>
        <v>#VALUE!</v>
      </c>
      <c r="GK24" t="e">
        <f>AND('Species Data'!E133,"AAAAAH8n/8A=")</f>
        <v>#VALUE!</v>
      </c>
      <c r="GL24" t="e">
        <f>AND('Species Data'!F133,"AAAAAH8n/8E=")</f>
        <v>#VALUE!</v>
      </c>
      <c r="GM24" t="e">
        <f>AND('Species Data'!G133,"AAAAAH8n/8I=")</f>
        <v>#VALUE!</v>
      </c>
      <c r="GN24" t="e">
        <f>AND('Species Data'!H133,"AAAAAH8n/8M=")</f>
        <v>#VALUE!</v>
      </c>
      <c r="GO24" t="e">
        <f>AND('Species Data'!I133,"AAAAAH8n/8Q=")</f>
        <v>#VALUE!</v>
      </c>
      <c r="GP24" t="e">
        <f>AND('Species Data'!J133,"AAAAAH8n/8U=")</f>
        <v>#VALUE!</v>
      </c>
      <c r="GQ24" t="e">
        <f>AND('Species Data'!K133,"AAAAAH8n/8Y=")</f>
        <v>#VALUE!</v>
      </c>
      <c r="GR24" t="e">
        <f>AND('Species Data'!L133,"AAAAAH8n/8c=")</f>
        <v>#VALUE!</v>
      </c>
      <c r="GS24" t="e">
        <f>AND('Species Data'!M133,"AAAAAH8n/8g=")</f>
        <v>#VALUE!</v>
      </c>
      <c r="GT24" t="e">
        <f>AND('Species Data'!N133,"AAAAAH8n/8k=")</f>
        <v>#VALUE!</v>
      </c>
      <c r="GU24" t="e">
        <f>AND('Species Data'!O133,"AAAAAH8n/8o=")</f>
        <v>#VALUE!</v>
      </c>
      <c r="GV24">
        <f>IF('Species Data'!134:134,"AAAAAH8n/8s=",0)</f>
        <v>0</v>
      </c>
      <c r="GW24" t="e">
        <f>AND('Species Data'!A134,"AAAAAH8n/8w=")</f>
        <v>#VALUE!</v>
      </c>
      <c r="GX24" t="e">
        <f>AND('Species Data'!B134,"AAAAAH8n/80=")</f>
        <v>#VALUE!</v>
      </c>
      <c r="GY24" t="e">
        <f>AND('Species Data'!C134,"AAAAAH8n/84=")</f>
        <v>#VALUE!</v>
      </c>
      <c r="GZ24" t="e">
        <f>AND('Species Data'!D134,"AAAAAH8n/88=")</f>
        <v>#VALUE!</v>
      </c>
      <c r="HA24" t="e">
        <f>AND('Species Data'!E134,"AAAAAH8n/9A=")</f>
        <v>#VALUE!</v>
      </c>
      <c r="HB24" t="e">
        <f>AND('Species Data'!F134,"AAAAAH8n/9E=")</f>
        <v>#VALUE!</v>
      </c>
      <c r="HC24" t="e">
        <f>AND('Species Data'!G134,"AAAAAH8n/9I=")</f>
        <v>#VALUE!</v>
      </c>
      <c r="HD24" t="e">
        <f>AND('Species Data'!H134,"AAAAAH8n/9M=")</f>
        <v>#VALUE!</v>
      </c>
      <c r="HE24" t="e">
        <f>AND('Species Data'!I134,"AAAAAH8n/9Q=")</f>
        <v>#VALUE!</v>
      </c>
      <c r="HF24" t="e">
        <f>AND('Species Data'!J134,"AAAAAH8n/9U=")</f>
        <v>#VALUE!</v>
      </c>
      <c r="HG24" t="e">
        <f>AND('Species Data'!K134,"AAAAAH8n/9Y=")</f>
        <v>#VALUE!</v>
      </c>
      <c r="HH24" t="e">
        <f>AND('Species Data'!L134,"AAAAAH8n/9c=")</f>
        <v>#VALUE!</v>
      </c>
      <c r="HI24" t="e">
        <f>AND('Species Data'!M134,"AAAAAH8n/9g=")</f>
        <v>#VALUE!</v>
      </c>
      <c r="HJ24" t="e">
        <f>AND('Species Data'!N134,"AAAAAH8n/9k=")</f>
        <v>#VALUE!</v>
      </c>
      <c r="HK24" t="e">
        <f>AND('Species Data'!O134,"AAAAAH8n/9o=")</f>
        <v>#VALUE!</v>
      </c>
      <c r="HL24">
        <f>IF('Species Data'!135:135,"AAAAAH8n/9s=",0)</f>
        <v>0</v>
      </c>
      <c r="HM24" t="e">
        <f>AND('Species Data'!A135,"AAAAAH8n/9w=")</f>
        <v>#VALUE!</v>
      </c>
      <c r="HN24" t="e">
        <f>AND('Species Data'!B135,"AAAAAH8n/90=")</f>
        <v>#VALUE!</v>
      </c>
      <c r="HO24" t="e">
        <f>AND('Species Data'!C135,"AAAAAH8n/94=")</f>
        <v>#VALUE!</v>
      </c>
      <c r="HP24" t="e">
        <f>AND('Species Data'!D135,"AAAAAH8n/98=")</f>
        <v>#VALUE!</v>
      </c>
      <c r="HQ24" t="e">
        <f>AND('Species Data'!E135,"AAAAAH8n/+A=")</f>
        <v>#VALUE!</v>
      </c>
      <c r="HR24" t="e">
        <f>AND('Species Data'!F135,"AAAAAH8n/+E=")</f>
        <v>#VALUE!</v>
      </c>
      <c r="HS24" t="e">
        <f>AND('Species Data'!G135,"AAAAAH8n/+I=")</f>
        <v>#VALUE!</v>
      </c>
      <c r="HT24" t="e">
        <f>AND('Species Data'!H135,"AAAAAH8n/+M=")</f>
        <v>#VALUE!</v>
      </c>
      <c r="HU24" t="e">
        <f>AND('Species Data'!I135,"AAAAAH8n/+Q=")</f>
        <v>#VALUE!</v>
      </c>
      <c r="HV24" t="e">
        <f>AND('Species Data'!J135,"AAAAAH8n/+U=")</f>
        <v>#VALUE!</v>
      </c>
      <c r="HW24" t="e">
        <f>AND('Species Data'!K135,"AAAAAH8n/+Y=")</f>
        <v>#VALUE!</v>
      </c>
      <c r="HX24" t="e">
        <f>AND('Species Data'!L135,"AAAAAH8n/+c=")</f>
        <v>#VALUE!</v>
      </c>
      <c r="HY24" t="e">
        <f>AND('Species Data'!M135,"AAAAAH8n/+g=")</f>
        <v>#VALUE!</v>
      </c>
      <c r="HZ24" t="e">
        <f>AND('Species Data'!N135,"AAAAAH8n/+k=")</f>
        <v>#VALUE!</v>
      </c>
      <c r="IA24" t="e">
        <f>AND('Species Data'!O135,"AAAAAH8n/+o=")</f>
        <v>#VALUE!</v>
      </c>
      <c r="IB24">
        <f>IF('Species Data'!136:136,"AAAAAH8n/+s=",0)</f>
        <v>0</v>
      </c>
      <c r="IC24" t="e">
        <f>AND('Species Data'!A136,"AAAAAH8n/+w=")</f>
        <v>#VALUE!</v>
      </c>
      <c r="ID24" t="e">
        <f>AND('Species Data'!B136,"AAAAAH8n/+0=")</f>
        <v>#VALUE!</v>
      </c>
      <c r="IE24" t="e">
        <f>AND('Species Data'!C136,"AAAAAH8n/+4=")</f>
        <v>#VALUE!</v>
      </c>
      <c r="IF24" t="e">
        <f>AND('Species Data'!D136,"AAAAAH8n/+8=")</f>
        <v>#VALUE!</v>
      </c>
      <c r="IG24" t="e">
        <f>AND('Species Data'!E136,"AAAAAH8n//A=")</f>
        <v>#VALUE!</v>
      </c>
      <c r="IH24" t="e">
        <f>AND('Species Data'!F136,"AAAAAH8n//E=")</f>
        <v>#VALUE!</v>
      </c>
      <c r="II24" t="e">
        <f>AND('Species Data'!G136,"AAAAAH8n//I=")</f>
        <v>#VALUE!</v>
      </c>
      <c r="IJ24" t="e">
        <f>AND('Species Data'!H136,"AAAAAH8n//M=")</f>
        <v>#VALUE!</v>
      </c>
      <c r="IK24" t="e">
        <f>AND('Species Data'!I136,"AAAAAH8n//Q=")</f>
        <v>#VALUE!</v>
      </c>
      <c r="IL24" t="e">
        <f>AND('Species Data'!J136,"AAAAAH8n//U=")</f>
        <v>#VALUE!</v>
      </c>
      <c r="IM24" t="e">
        <f>AND('Species Data'!K136,"AAAAAH8n//Y=")</f>
        <v>#VALUE!</v>
      </c>
      <c r="IN24" t="e">
        <f>AND('Species Data'!L136,"AAAAAH8n//c=")</f>
        <v>#VALUE!</v>
      </c>
      <c r="IO24" t="e">
        <f>AND('Species Data'!M136,"AAAAAH8n//g=")</f>
        <v>#VALUE!</v>
      </c>
      <c r="IP24" t="e">
        <f>AND('Species Data'!N136,"AAAAAH8n//k=")</f>
        <v>#VALUE!</v>
      </c>
      <c r="IQ24" t="e">
        <f>AND('Species Data'!O136,"AAAAAH8n//o=")</f>
        <v>#VALUE!</v>
      </c>
      <c r="IR24">
        <f>IF('Species Data'!137:137,"AAAAAH8n//s=",0)</f>
        <v>0</v>
      </c>
      <c r="IS24" t="e">
        <f>AND('Species Data'!A137,"AAAAAH8n//w=")</f>
        <v>#VALUE!</v>
      </c>
      <c r="IT24" t="e">
        <f>AND('Species Data'!B137,"AAAAAH8n//0=")</f>
        <v>#VALUE!</v>
      </c>
      <c r="IU24" t="e">
        <f>AND('Species Data'!C137,"AAAAAH8n//4=")</f>
        <v>#VALUE!</v>
      </c>
      <c r="IV24" t="e">
        <f>AND('Species Data'!D137,"AAAAAH8n//8=")</f>
        <v>#VALUE!</v>
      </c>
    </row>
    <row r="25" spans="1:256">
      <c r="A25" t="e">
        <f>AND('Species Data'!E137,"AAAAAG7eeAA=")</f>
        <v>#VALUE!</v>
      </c>
      <c r="B25" t="e">
        <f>AND('Species Data'!F137,"AAAAAG7eeAE=")</f>
        <v>#VALUE!</v>
      </c>
      <c r="C25" t="e">
        <f>AND('Species Data'!G137,"AAAAAG7eeAI=")</f>
        <v>#VALUE!</v>
      </c>
      <c r="D25" t="e">
        <f>AND('Species Data'!H137,"AAAAAG7eeAM=")</f>
        <v>#VALUE!</v>
      </c>
      <c r="E25" t="e">
        <f>AND('Species Data'!I137,"AAAAAG7eeAQ=")</f>
        <v>#VALUE!</v>
      </c>
      <c r="F25" t="e">
        <f>AND('Species Data'!J137,"AAAAAG7eeAU=")</f>
        <v>#VALUE!</v>
      </c>
      <c r="G25" t="e">
        <f>AND('Species Data'!K137,"AAAAAG7eeAY=")</f>
        <v>#VALUE!</v>
      </c>
      <c r="H25" t="e">
        <f>AND('Species Data'!L137,"AAAAAG7eeAc=")</f>
        <v>#VALUE!</v>
      </c>
      <c r="I25" t="e">
        <f>AND('Species Data'!M137,"AAAAAG7eeAg=")</f>
        <v>#VALUE!</v>
      </c>
      <c r="J25" t="e">
        <f>AND('Species Data'!N137,"AAAAAG7eeAk=")</f>
        <v>#VALUE!</v>
      </c>
      <c r="K25" t="e">
        <f>AND('Species Data'!O137,"AAAAAG7eeAo=")</f>
        <v>#VALUE!</v>
      </c>
      <c r="L25">
        <f>IF('Species Data'!138:138,"AAAAAG7eeAs=",0)</f>
        <v>0</v>
      </c>
      <c r="M25" t="e">
        <f>AND('Species Data'!A138,"AAAAAG7eeAw=")</f>
        <v>#VALUE!</v>
      </c>
      <c r="N25" t="e">
        <f>AND('Species Data'!B138,"AAAAAG7eeA0=")</f>
        <v>#VALUE!</v>
      </c>
      <c r="O25" t="e">
        <f>AND('Species Data'!C138,"AAAAAG7eeA4=")</f>
        <v>#VALUE!</v>
      </c>
      <c r="P25" t="e">
        <f>AND('Species Data'!D138,"AAAAAG7eeA8=")</f>
        <v>#VALUE!</v>
      </c>
      <c r="Q25" t="e">
        <f>AND('Species Data'!E138,"AAAAAG7eeBA=")</f>
        <v>#VALUE!</v>
      </c>
      <c r="R25" t="e">
        <f>AND('Species Data'!F138,"AAAAAG7eeBE=")</f>
        <v>#VALUE!</v>
      </c>
      <c r="S25" t="e">
        <f>AND('Species Data'!G138,"AAAAAG7eeBI=")</f>
        <v>#VALUE!</v>
      </c>
      <c r="T25" t="e">
        <f>AND('Species Data'!H138,"AAAAAG7eeBM=")</f>
        <v>#VALUE!</v>
      </c>
      <c r="U25" t="e">
        <f>AND('Species Data'!I138,"AAAAAG7eeBQ=")</f>
        <v>#VALUE!</v>
      </c>
      <c r="V25" t="e">
        <f>AND('Species Data'!J138,"AAAAAG7eeBU=")</f>
        <v>#VALUE!</v>
      </c>
      <c r="W25" t="e">
        <f>AND('Species Data'!K138,"AAAAAG7eeBY=")</f>
        <v>#VALUE!</v>
      </c>
      <c r="X25" t="e">
        <f>AND('Species Data'!L138,"AAAAAG7eeBc=")</f>
        <v>#VALUE!</v>
      </c>
      <c r="Y25" t="e">
        <f>AND('Species Data'!M138,"AAAAAG7eeBg=")</f>
        <v>#VALUE!</v>
      </c>
      <c r="Z25" t="e">
        <f>AND('Species Data'!N138,"AAAAAG7eeBk=")</f>
        <v>#VALUE!</v>
      </c>
      <c r="AA25" t="e">
        <f>AND('Species Data'!O138,"AAAAAG7eeBo=")</f>
        <v>#VALUE!</v>
      </c>
      <c r="AB25">
        <f>IF('Species Data'!139:139,"AAAAAG7eeBs=",0)</f>
        <v>0</v>
      </c>
      <c r="AC25" t="e">
        <f>AND('Species Data'!A139,"AAAAAG7eeBw=")</f>
        <v>#VALUE!</v>
      </c>
      <c r="AD25" t="e">
        <f>AND('Species Data'!B139,"AAAAAG7eeB0=")</f>
        <v>#VALUE!</v>
      </c>
      <c r="AE25" t="e">
        <f>AND('Species Data'!C139,"AAAAAG7eeB4=")</f>
        <v>#VALUE!</v>
      </c>
      <c r="AF25" t="e">
        <f>AND('Species Data'!D139,"AAAAAG7eeB8=")</f>
        <v>#VALUE!</v>
      </c>
      <c r="AG25" t="e">
        <f>AND('Species Data'!E139,"AAAAAG7eeCA=")</f>
        <v>#VALUE!</v>
      </c>
      <c r="AH25" t="e">
        <f>AND('Species Data'!F139,"AAAAAG7eeCE=")</f>
        <v>#VALUE!</v>
      </c>
      <c r="AI25" t="e">
        <f>AND('Species Data'!G139,"AAAAAG7eeCI=")</f>
        <v>#VALUE!</v>
      </c>
      <c r="AJ25" t="e">
        <f>AND('Species Data'!H139,"AAAAAG7eeCM=")</f>
        <v>#VALUE!</v>
      </c>
      <c r="AK25" t="e">
        <f>AND('Species Data'!I139,"AAAAAG7eeCQ=")</f>
        <v>#VALUE!</v>
      </c>
      <c r="AL25" t="e">
        <f>AND('Species Data'!J139,"AAAAAG7eeCU=")</f>
        <v>#VALUE!</v>
      </c>
      <c r="AM25" t="e">
        <f>AND('Species Data'!K139,"AAAAAG7eeCY=")</f>
        <v>#VALUE!</v>
      </c>
      <c r="AN25" t="e">
        <f>AND('Species Data'!L139,"AAAAAG7eeCc=")</f>
        <v>#VALUE!</v>
      </c>
      <c r="AO25" t="e">
        <f>AND('Species Data'!M139,"AAAAAG7eeCg=")</f>
        <v>#VALUE!</v>
      </c>
      <c r="AP25" t="e">
        <f>AND('Species Data'!N139,"AAAAAG7eeCk=")</f>
        <v>#VALUE!</v>
      </c>
      <c r="AQ25" t="e">
        <f>AND('Species Data'!O139,"AAAAAG7eeCo=")</f>
        <v>#VALUE!</v>
      </c>
      <c r="AR25">
        <f>IF('Species Data'!140:140,"AAAAAG7eeCs=",0)</f>
        <v>0</v>
      </c>
      <c r="AS25" t="e">
        <f>AND('Species Data'!A140,"AAAAAG7eeCw=")</f>
        <v>#VALUE!</v>
      </c>
      <c r="AT25" t="e">
        <f>AND('Species Data'!B140,"AAAAAG7eeC0=")</f>
        <v>#VALUE!</v>
      </c>
      <c r="AU25" t="e">
        <f>AND('Species Data'!C140,"AAAAAG7eeC4=")</f>
        <v>#VALUE!</v>
      </c>
      <c r="AV25" t="e">
        <f>AND('Species Data'!D140,"AAAAAG7eeC8=")</f>
        <v>#VALUE!</v>
      </c>
      <c r="AW25" t="e">
        <f>AND('Species Data'!E140,"AAAAAG7eeDA=")</f>
        <v>#VALUE!</v>
      </c>
      <c r="AX25" t="e">
        <f>AND('Species Data'!F140,"AAAAAG7eeDE=")</f>
        <v>#VALUE!</v>
      </c>
      <c r="AY25" t="e">
        <f>AND('Species Data'!G140,"AAAAAG7eeDI=")</f>
        <v>#VALUE!</v>
      </c>
      <c r="AZ25" t="e">
        <f>AND('Species Data'!H140,"AAAAAG7eeDM=")</f>
        <v>#VALUE!</v>
      </c>
      <c r="BA25" t="e">
        <f>AND('Species Data'!I140,"AAAAAG7eeDQ=")</f>
        <v>#VALUE!</v>
      </c>
      <c r="BB25" t="e">
        <f>AND('Species Data'!J140,"AAAAAG7eeDU=")</f>
        <v>#VALUE!</v>
      </c>
      <c r="BC25" t="e">
        <f>AND('Species Data'!K140,"AAAAAG7eeDY=")</f>
        <v>#VALUE!</v>
      </c>
      <c r="BD25" t="e">
        <f>AND('Species Data'!L140,"AAAAAG7eeDc=")</f>
        <v>#VALUE!</v>
      </c>
      <c r="BE25" t="e">
        <f>AND('Species Data'!M140,"AAAAAG7eeDg=")</f>
        <v>#VALUE!</v>
      </c>
      <c r="BF25" t="e">
        <f>AND('Species Data'!N140,"AAAAAG7eeDk=")</f>
        <v>#VALUE!</v>
      </c>
      <c r="BG25" t="e">
        <f>AND('Species Data'!O140,"AAAAAG7eeDo=")</f>
        <v>#VALUE!</v>
      </c>
      <c r="BH25">
        <f>IF('Species Data'!141:141,"AAAAAG7eeDs=",0)</f>
        <v>0</v>
      </c>
      <c r="BI25" t="e">
        <f>AND('Species Data'!A141,"AAAAAG7eeDw=")</f>
        <v>#VALUE!</v>
      </c>
      <c r="BJ25" t="e">
        <f>AND('Species Data'!B141,"AAAAAG7eeD0=")</f>
        <v>#VALUE!</v>
      </c>
      <c r="BK25" t="e">
        <f>AND('Species Data'!C141,"AAAAAG7eeD4=")</f>
        <v>#VALUE!</v>
      </c>
      <c r="BL25" t="e">
        <f>AND('Species Data'!D141,"AAAAAG7eeD8=")</f>
        <v>#VALUE!</v>
      </c>
      <c r="BM25" t="e">
        <f>AND('Species Data'!E141,"AAAAAG7eeEA=")</f>
        <v>#VALUE!</v>
      </c>
      <c r="BN25" t="e">
        <f>AND('Species Data'!F141,"AAAAAG7eeEE=")</f>
        <v>#VALUE!</v>
      </c>
      <c r="BO25" t="e">
        <f>AND('Species Data'!G141,"AAAAAG7eeEI=")</f>
        <v>#VALUE!</v>
      </c>
      <c r="BP25" t="e">
        <f>AND('Species Data'!H141,"AAAAAG7eeEM=")</f>
        <v>#VALUE!</v>
      </c>
      <c r="BQ25" t="e">
        <f>AND('Species Data'!I141,"AAAAAG7eeEQ=")</f>
        <v>#VALUE!</v>
      </c>
      <c r="BR25" t="e">
        <f>AND('Species Data'!J141,"AAAAAG7eeEU=")</f>
        <v>#VALUE!</v>
      </c>
      <c r="BS25" t="e">
        <f>AND('Species Data'!K141,"AAAAAG7eeEY=")</f>
        <v>#VALUE!</v>
      </c>
      <c r="BT25" t="e">
        <f>AND('Species Data'!L141,"AAAAAG7eeEc=")</f>
        <v>#VALUE!</v>
      </c>
      <c r="BU25" t="e">
        <f>AND('Species Data'!M141,"AAAAAG7eeEg=")</f>
        <v>#VALUE!</v>
      </c>
      <c r="BV25" t="e">
        <f>AND('Species Data'!N141,"AAAAAG7eeEk=")</f>
        <v>#VALUE!</v>
      </c>
      <c r="BW25" t="e">
        <f>AND('Species Data'!O141,"AAAAAG7eeEo=")</f>
        <v>#VALUE!</v>
      </c>
      <c r="BX25">
        <f>IF('Species Data'!142:142,"AAAAAG7eeEs=",0)</f>
        <v>0</v>
      </c>
      <c r="BY25" t="e">
        <f>AND('Species Data'!A142,"AAAAAG7eeEw=")</f>
        <v>#VALUE!</v>
      </c>
      <c r="BZ25" t="e">
        <f>AND('Species Data'!B142,"AAAAAG7eeE0=")</f>
        <v>#VALUE!</v>
      </c>
      <c r="CA25" t="e">
        <f>AND('Species Data'!C142,"AAAAAG7eeE4=")</f>
        <v>#VALUE!</v>
      </c>
      <c r="CB25" t="e">
        <f>AND('Species Data'!D142,"AAAAAG7eeE8=")</f>
        <v>#VALUE!</v>
      </c>
      <c r="CC25" t="e">
        <f>AND('Species Data'!E142,"AAAAAG7eeFA=")</f>
        <v>#VALUE!</v>
      </c>
      <c r="CD25" t="e">
        <f>AND('Species Data'!F142,"AAAAAG7eeFE=")</f>
        <v>#VALUE!</v>
      </c>
      <c r="CE25" t="e">
        <f>AND('Species Data'!G142,"AAAAAG7eeFI=")</f>
        <v>#VALUE!</v>
      </c>
      <c r="CF25" t="e">
        <f>AND('Species Data'!H142,"AAAAAG7eeFM=")</f>
        <v>#VALUE!</v>
      </c>
      <c r="CG25" t="e">
        <f>AND('Species Data'!I142,"AAAAAG7eeFQ=")</f>
        <v>#VALUE!</v>
      </c>
      <c r="CH25" t="e">
        <f>AND('Species Data'!J142,"AAAAAG7eeFU=")</f>
        <v>#VALUE!</v>
      </c>
      <c r="CI25" t="e">
        <f>AND('Species Data'!K142,"AAAAAG7eeFY=")</f>
        <v>#VALUE!</v>
      </c>
      <c r="CJ25" t="e">
        <f>AND('Species Data'!L142,"AAAAAG7eeFc=")</f>
        <v>#VALUE!</v>
      </c>
      <c r="CK25" t="e">
        <f>AND('Species Data'!M142,"AAAAAG7eeFg=")</f>
        <v>#VALUE!</v>
      </c>
      <c r="CL25" t="e">
        <f>AND('Species Data'!N142,"AAAAAG7eeFk=")</f>
        <v>#VALUE!</v>
      </c>
      <c r="CM25" t="e">
        <f>AND('Species Data'!O142,"AAAAAG7eeFo=")</f>
        <v>#VALUE!</v>
      </c>
      <c r="CN25">
        <f>IF('Species Data'!143:143,"AAAAAG7eeFs=",0)</f>
        <v>0</v>
      </c>
      <c r="CO25" t="e">
        <f>AND('Species Data'!A143,"AAAAAG7eeFw=")</f>
        <v>#VALUE!</v>
      </c>
      <c r="CP25" t="e">
        <f>AND('Species Data'!B143,"AAAAAG7eeF0=")</f>
        <v>#VALUE!</v>
      </c>
      <c r="CQ25" t="e">
        <f>AND('Species Data'!C143,"AAAAAG7eeF4=")</f>
        <v>#VALUE!</v>
      </c>
      <c r="CR25" t="e">
        <f>AND('Species Data'!D143,"AAAAAG7eeF8=")</f>
        <v>#VALUE!</v>
      </c>
      <c r="CS25" t="e">
        <f>AND('Species Data'!E143,"AAAAAG7eeGA=")</f>
        <v>#VALUE!</v>
      </c>
      <c r="CT25" t="e">
        <f>AND('Species Data'!F143,"AAAAAG7eeGE=")</f>
        <v>#VALUE!</v>
      </c>
      <c r="CU25" t="e">
        <f>AND('Species Data'!G143,"AAAAAG7eeGI=")</f>
        <v>#VALUE!</v>
      </c>
      <c r="CV25" t="e">
        <f>AND('Species Data'!H143,"AAAAAG7eeGM=")</f>
        <v>#VALUE!</v>
      </c>
      <c r="CW25" t="e">
        <f>AND('Species Data'!I143,"AAAAAG7eeGQ=")</f>
        <v>#VALUE!</v>
      </c>
      <c r="CX25" t="e">
        <f>AND('Species Data'!J143,"AAAAAG7eeGU=")</f>
        <v>#VALUE!</v>
      </c>
      <c r="CY25" t="e">
        <f>AND('Species Data'!K143,"AAAAAG7eeGY=")</f>
        <v>#VALUE!</v>
      </c>
      <c r="CZ25" t="e">
        <f>AND('Species Data'!L143,"AAAAAG7eeGc=")</f>
        <v>#VALUE!</v>
      </c>
      <c r="DA25" t="e">
        <f>AND('Species Data'!M143,"AAAAAG7eeGg=")</f>
        <v>#VALUE!</v>
      </c>
      <c r="DB25" t="e">
        <f>AND('Species Data'!N143,"AAAAAG7eeGk=")</f>
        <v>#VALUE!</v>
      </c>
      <c r="DC25" t="e">
        <f>AND('Species Data'!O143,"AAAAAG7eeGo=")</f>
        <v>#VALUE!</v>
      </c>
      <c r="DD25">
        <f>IF('Species Data'!144:144,"AAAAAG7eeGs=",0)</f>
        <v>0</v>
      </c>
      <c r="DE25" t="e">
        <f>AND('Species Data'!A144,"AAAAAG7eeGw=")</f>
        <v>#VALUE!</v>
      </c>
      <c r="DF25" t="e">
        <f>AND('Species Data'!B144,"AAAAAG7eeG0=")</f>
        <v>#VALUE!</v>
      </c>
      <c r="DG25" t="e">
        <f>AND('Species Data'!C144,"AAAAAG7eeG4=")</f>
        <v>#VALUE!</v>
      </c>
      <c r="DH25" t="e">
        <f>AND('Species Data'!D144,"AAAAAG7eeG8=")</f>
        <v>#VALUE!</v>
      </c>
      <c r="DI25" t="e">
        <f>AND('Species Data'!E144,"AAAAAG7eeHA=")</f>
        <v>#VALUE!</v>
      </c>
      <c r="DJ25" t="e">
        <f>AND('Species Data'!F144,"AAAAAG7eeHE=")</f>
        <v>#VALUE!</v>
      </c>
      <c r="DK25" t="e">
        <f>AND('Species Data'!G144,"AAAAAG7eeHI=")</f>
        <v>#VALUE!</v>
      </c>
      <c r="DL25" t="e">
        <f>AND('Species Data'!H144,"AAAAAG7eeHM=")</f>
        <v>#VALUE!</v>
      </c>
      <c r="DM25" t="e">
        <f>AND('Species Data'!I144,"AAAAAG7eeHQ=")</f>
        <v>#VALUE!</v>
      </c>
      <c r="DN25" t="e">
        <f>AND('Species Data'!J144,"AAAAAG7eeHU=")</f>
        <v>#VALUE!</v>
      </c>
      <c r="DO25" t="e">
        <f>AND('Species Data'!K144,"AAAAAG7eeHY=")</f>
        <v>#VALUE!</v>
      </c>
      <c r="DP25" t="e">
        <f>AND('Species Data'!L144,"AAAAAG7eeHc=")</f>
        <v>#VALUE!</v>
      </c>
      <c r="DQ25" t="e">
        <f>AND('Species Data'!M144,"AAAAAG7eeHg=")</f>
        <v>#VALUE!</v>
      </c>
      <c r="DR25" t="e">
        <f>AND('Species Data'!N144,"AAAAAG7eeHk=")</f>
        <v>#VALUE!</v>
      </c>
      <c r="DS25" t="e">
        <f>AND('Species Data'!O144,"AAAAAG7eeHo=")</f>
        <v>#VALUE!</v>
      </c>
      <c r="DT25">
        <f>IF('Species Data'!145:145,"AAAAAG7eeHs=",0)</f>
        <v>0</v>
      </c>
      <c r="DU25" t="e">
        <f>AND('Species Data'!A145,"AAAAAG7eeHw=")</f>
        <v>#VALUE!</v>
      </c>
      <c r="DV25" t="e">
        <f>AND('Species Data'!B145,"AAAAAG7eeH0=")</f>
        <v>#VALUE!</v>
      </c>
      <c r="DW25" t="e">
        <f>AND('Species Data'!C145,"AAAAAG7eeH4=")</f>
        <v>#VALUE!</v>
      </c>
      <c r="DX25" t="e">
        <f>AND('Species Data'!D145,"AAAAAG7eeH8=")</f>
        <v>#VALUE!</v>
      </c>
      <c r="DY25" t="e">
        <f>AND('Species Data'!E145,"AAAAAG7eeIA=")</f>
        <v>#VALUE!</v>
      </c>
      <c r="DZ25" t="e">
        <f>AND('Species Data'!F145,"AAAAAG7eeIE=")</f>
        <v>#VALUE!</v>
      </c>
      <c r="EA25" t="e">
        <f>AND('Species Data'!G145,"AAAAAG7eeII=")</f>
        <v>#VALUE!</v>
      </c>
      <c r="EB25" t="e">
        <f>AND('Species Data'!H145,"AAAAAG7eeIM=")</f>
        <v>#VALUE!</v>
      </c>
      <c r="EC25" t="e">
        <f>AND('Species Data'!I145,"AAAAAG7eeIQ=")</f>
        <v>#VALUE!</v>
      </c>
      <c r="ED25" t="e">
        <f>AND('Species Data'!J145,"AAAAAG7eeIU=")</f>
        <v>#VALUE!</v>
      </c>
      <c r="EE25" t="e">
        <f>AND('Species Data'!K145,"AAAAAG7eeIY=")</f>
        <v>#VALUE!</v>
      </c>
      <c r="EF25" t="e">
        <f>AND('Species Data'!L145,"AAAAAG7eeIc=")</f>
        <v>#VALUE!</v>
      </c>
      <c r="EG25" t="e">
        <f>AND('Species Data'!M145,"AAAAAG7eeIg=")</f>
        <v>#VALUE!</v>
      </c>
      <c r="EH25" t="e">
        <f>AND('Species Data'!N145,"AAAAAG7eeIk=")</f>
        <v>#VALUE!</v>
      </c>
      <c r="EI25" t="e">
        <f>AND('Species Data'!O145,"AAAAAG7eeIo=")</f>
        <v>#VALUE!</v>
      </c>
      <c r="EJ25">
        <f>IF('Species Data'!146:146,"AAAAAG7eeIs=",0)</f>
        <v>0</v>
      </c>
      <c r="EK25" t="e">
        <f>AND('Species Data'!A146,"AAAAAG7eeIw=")</f>
        <v>#VALUE!</v>
      </c>
      <c r="EL25" t="e">
        <f>AND('Species Data'!B146,"AAAAAG7eeI0=")</f>
        <v>#VALUE!</v>
      </c>
      <c r="EM25" t="e">
        <f>AND('Species Data'!C146,"AAAAAG7eeI4=")</f>
        <v>#VALUE!</v>
      </c>
      <c r="EN25" t="e">
        <f>AND('Species Data'!D146,"AAAAAG7eeI8=")</f>
        <v>#VALUE!</v>
      </c>
      <c r="EO25" t="e">
        <f>AND('Species Data'!E146,"AAAAAG7eeJA=")</f>
        <v>#VALUE!</v>
      </c>
      <c r="EP25" t="e">
        <f>AND('Species Data'!F146,"AAAAAG7eeJE=")</f>
        <v>#VALUE!</v>
      </c>
      <c r="EQ25" t="e">
        <f>AND('Species Data'!G146,"AAAAAG7eeJI=")</f>
        <v>#VALUE!</v>
      </c>
      <c r="ER25" t="e">
        <f>AND('Species Data'!H146,"AAAAAG7eeJM=")</f>
        <v>#VALUE!</v>
      </c>
      <c r="ES25" t="e">
        <f>AND('Species Data'!I146,"AAAAAG7eeJQ=")</f>
        <v>#VALUE!</v>
      </c>
      <c r="ET25" t="e">
        <f>AND('Species Data'!J146,"AAAAAG7eeJU=")</f>
        <v>#VALUE!</v>
      </c>
      <c r="EU25" t="e">
        <f>AND('Species Data'!K146,"AAAAAG7eeJY=")</f>
        <v>#VALUE!</v>
      </c>
      <c r="EV25" t="e">
        <f>AND('Species Data'!L146,"AAAAAG7eeJc=")</f>
        <v>#VALUE!</v>
      </c>
      <c r="EW25" t="e">
        <f>AND('Species Data'!M146,"AAAAAG7eeJg=")</f>
        <v>#VALUE!</v>
      </c>
      <c r="EX25" t="e">
        <f>AND('Species Data'!N146,"AAAAAG7eeJk=")</f>
        <v>#VALUE!</v>
      </c>
      <c r="EY25" t="e">
        <f>AND('Species Data'!O146,"AAAAAG7eeJo=")</f>
        <v>#VALUE!</v>
      </c>
      <c r="EZ25">
        <f>IF('Species Data'!147:147,"AAAAAG7eeJs=",0)</f>
        <v>0</v>
      </c>
      <c r="FA25" t="e">
        <f>AND('Species Data'!A147,"AAAAAG7eeJw=")</f>
        <v>#VALUE!</v>
      </c>
      <c r="FB25" t="e">
        <f>AND('Species Data'!B147,"AAAAAG7eeJ0=")</f>
        <v>#VALUE!</v>
      </c>
      <c r="FC25" t="e">
        <f>AND('Species Data'!C147,"AAAAAG7eeJ4=")</f>
        <v>#VALUE!</v>
      </c>
      <c r="FD25" t="e">
        <f>AND('Species Data'!D147,"AAAAAG7eeJ8=")</f>
        <v>#VALUE!</v>
      </c>
      <c r="FE25" t="e">
        <f>AND('Species Data'!E147,"AAAAAG7eeKA=")</f>
        <v>#VALUE!</v>
      </c>
      <c r="FF25" t="e">
        <f>AND('Species Data'!F147,"AAAAAG7eeKE=")</f>
        <v>#VALUE!</v>
      </c>
      <c r="FG25" t="e">
        <f>AND('Species Data'!G147,"AAAAAG7eeKI=")</f>
        <v>#VALUE!</v>
      </c>
      <c r="FH25" t="e">
        <f>AND('Species Data'!H147,"AAAAAG7eeKM=")</f>
        <v>#VALUE!</v>
      </c>
      <c r="FI25" t="e">
        <f>AND('Species Data'!I147,"AAAAAG7eeKQ=")</f>
        <v>#VALUE!</v>
      </c>
      <c r="FJ25" t="e">
        <f>AND('Species Data'!J147,"AAAAAG7eeKU=")</f>
        <v>#VALUE!</v>
      </c>
      <c r="FK25" t="e">
        <f>AND('Species Data'!K147,"AAAAAG7eeKY=")</f>
        <v>#VALUE!</v>
      </c>
      <c r="FL25" t="e">
        <f>AND('Species Data'!L147,"AAAAAG7eeKc=")</f>
        <v>#VALUE!</v>
      </c>
      <c r="FM25" t="e">
        <f>AND('Species Data'!M147,"AAAAAG7eeKg=")</f>
        <v>#VALUE!</v>
      </c>
      <c r="FN25" t="e">
        <f>AND('Species Data'!N147,"AAAAAG7eeKk=")</f>
        <v>#VALUE!</v>
      </c>
      <c r="FO25" t="e">
        <f>AND('Species Data'!O147,"AAAAAG7eeKo=")</f>
        <v>#VALUE!</v>
      </c>
      <c r="FP25">
        <f>IF('Species Data'!148:148,"AAAAAG7eeKs=",0)</f>
        <v>0</v>
      </c>
      <c r="FQ25" t="e">
        <f>AND('Species Data'!A148,"AAAAAG7eeKw=")</f>
        <v>#VALUE!</v>
      </c>
      <c r="FR25" t="e">
        <f>AND('Species Data'!B148,"AAAAAG7eeK0=")</f>
        <v>#VALUE!</v>
      </c>
      <c r="FS25" t="e">
        <f>AND('Species Data'!C148,"AAAAAG7eeK4=")</f>
        <v>#VALUE!</v>
      </c>
      <c r="FT25" t="e">
        <f>AND('Species Data'!D148,"AAAAAG7eeK8=")</f>
        <v>#VALUE!</v>
      </c>
      <c r="FU25" t="e">
        <f>AND('Species Data'!E148,"AAAAAG7eeLA=")</f>
        <v>#VALUE!</v>
      </c>
      <c r="FV25" t="e">
        <f>AND('Species Data'!F148,"AAAAAG7eeLE=")</f>
        <v>#VALUE!</v>
      </c>
      <c r="FW25" t="e">
        <f>AND('Species Data'!G148,"AAAAAG7eeLI=")</f>
        <v>#VALUE!</v>
      </c>
      <c r="FX25" t="e">
        <f>AND('Species Data'!H148,"AAAAAG7eeLM=")</f>
        <v>#VALUE!</v>
      </c>
      <c r="FY25" t="e">
        <f>AND('Species Data'!I148,"AAAAAG7eeLQ=")</f>
        <v>#VALUE!</v>
      </c>
      <c r="FZ25" t="e">
        <f>AND('Species Data'!J148,"AAAAAG7eeLU=")</f>
        <v>#VALUE!</v>
      </c>
      <c r="GA25" t="e">
        <f>AND('Species Data'!K148,"AAAAAG7eeLY=")</f>
        <v>#VALUE!</v>
      </c>
      <c r="GB25" t="e">
        <f>AND('Species Data'!L148,"AAAAAG7eeLc=")</f>
        <v>#VALUE!</v>
      </c>
      <c r="GC25" t="e">
        <f>AND('Species Data'!M148,"AAAAAG7eeLg=")</f>
        <v>#VALUE!</v>
      </c>
      <c r="GD25" t="e">
        <f>AND('Species Data'!N148,"AAAAAG7eeLk=")</f>
        <v>#VALUE!</v>
      </c>
      <c r="GE25" t="e">
        <f>AND('Species Data'!O148,"AAAAAG7eeLo=")</f>
        <v>#VALUE!</v>
      </c>
      <c r="GF25">
        <f>IF('Species Data'!149:149,"AAAAAG7eeLs=",0)</f>
        <v>0</v>
      </c>
      <c r="GG25" t="e">
        <f>AND('Species Data'!A149,"AAAAAG7eeLw=")</f>
        <v>#VALUE!</v>
      </c>
      <c r="GH25" t="e">
        <f>AND('Species Data'!B149,"AAAAAG7eeL0=")</f>
        <v>#VALUE!</v>
      </c>
      <c r="GI25" t="e">
        <f>AND('Species Data'!C149,"AAAAAG7eeL4=")</f>
        <v>#VALUE!</v>
      </c>
      <c r="GJ25" t="e">
        <f>AND('Species Data'!D149,"AAAAAG7eeL8=")</f>
        <v>#VALUE!</v>
      </c>
      <c r="GK25" t="e">
        <f>AND('Species Data'!E149,"AAAAAG7eeMA=")</f>
        <v>#VALUE!</v>
      </c>
      <c r="GL25" t="e">
        <f>AND('Species Data'!F149,"AAAAAG7eeME=")</f>
        <v>#VALUE!</v>
      </c>
      <c r="GM25" t="e">
        <f>AND('Species Data'!G149,"AAAAAG7eeMI=")</f>
        <v>#VALUE!</v>
      </c>
      <c r="GN25" t="e">
        <f>AND('Species Data'!H149,"AAAAAG7eeMM=")</f>
        <v>#VALUE!</v>
      </c>
      <c r="GO25" t="e">
        <f>AND('Species Data'!I149,"AAAAAG7eeMQ=")</f>
        <v>#VALUE!</v>
      </c>
      <c r="GP25" t="e">
        <f>AND('Species Data'!J149,"AAAAAG7eeMU=")</f>
        <v>#VALUE!</v>
      </c>
      <c r="GQ25" t="e">
        <f>AND('Species Data'!K149,"AAAAAG7eeMY=")</f>
        <v>#VALUE!</v>
      </c>
      <c r="GR25" t="e">
        <f>AND('Species Data'!L149,"AAAAAG7eeMc=")</f>
        <v>#VALUE!</v>
      </c>
      <c r="GS25" t="e">
        <f>AND('Species Data'!M149,"AAAAAG7eeMg=")</f>
        <v>#VALUE!</v>
      </c>
      <c r="GT25" t="e">
        <f>AND('Species Data'!N149,"AAAAAG7eeMk=")</f>
        <v>#VALUE!</v>
      </c>
      <c r="GU25" t="e">
        <f>AND('Species Data'!O149,"AAAAAG7eeMo=")</f>
        <v>#VALUE!</v>
      </c>
      <c r="GV25">
        <f>IF('Species Data'!150:150,"AAAAAG7eeMs=",0)</f>
        <v>0</v>
      </c>
      <c r="GW25" t="e">
        <f>AND('Species Data'!A150,"AAAAAG7eeMw=")</f>
        <v>#VALUE!</v>
      </c>
      <c r="GX25" t="e">
        <f>AND('Species Data'!B150,"AAAAAG7eeM0=")</f>
        <v>#VALUE!</v>
      </c>
      <c r="GY25" t="e">
        <f>AND('Species Data'!C150,"AAAAAG7eeM4=")</f>
        <v>#VALUE!</v>
      </c>
      <c r="GZ25" t="e">
        <f>AND('Species Data'!D150,"AAAAAG7eeM8=")</f>
        <v>#VALUE!</v>
      </c>
      <c r="HA25" t="e">
        <f>AND('Species Data'!E150,"AAAAAG7eeNA=")</f>
        <v>#VALUE!</v>
      </c>
      <c r="HB25" t="e">
        <f>AND('Species Data'!F150,"AAAAAG7eeNE=")</f>
        <v>#VALUE!</v>
      </c>
      <c r="HC25" t="e">
        <f>AND('Species Data'!G150,"AAAAAG7eeNI=")</f>
        <v>#VALUE!</v>
      </c>
      <c r="HD25" t="e">
        <f>AND('Species Data'!H150,"AAAAAG7eeNM=")</f>
        <v>#VALUE!</v>
      </c>
      <c r="HE25" t="e">
        <f>AND('Species Data'!I150,"AAAAAG7eeNQ=")</f>
        <v>#VALUE!</v>
      </c>
      <c r="HF25" t="e">
        <f>AND('Species Data'!J150,"AAAAAG7eeNU=")</f>
        <v>#VALUE!</v>
      </c>
      <c r="HG25" t="e">
        <f>AND('Species Data'!K150,"AAAAAG7eeNY=")</f>
        <v>#VALUE!</v>
      </c>
      <c r="HH25" t="e">
        <f>AND('Species Data'!L150,"AAAAAG7eeNc=")</f>
        <v>#VALUE!</v>
      </c>
      <c r="HI25" t="e">
        <f>AND('Species Data'!M150,"AAAAAG7eeNg=")</f>
        <v>#VALUE!</v>
      </c>
      <c r="HJ25" t="e">
        <f>AND('Species Data'!N150,"AAAAAG7eeNk=")</f>
        <v>#VALUE!</v>
      </c>
      <c r="HK25" t="e">
        <f>AND('Species Data'!O150,"AAAAAG7eeNo=")</f>
        <v>#VALUE!</v>
      </c>
      <c r="HL25">
        <f>IF('Species Data'!151:151,"AAAAAG7eeNs=",0)</f>
        <v>0</v>
      </c>
      <c r="HM25" t="e">
        <f>AND('Species Data'!A151,"AAAAAG7eeNw=")</f>
        <v>#VALUE!</v>
      </c>
      <c r="HN25" t="e">
        <f>AND('Species Data'!B151,"AAAAAG7eeN0=")</f>
        <v>#VALUE!</v>
      </c>
      <c r="HO25" t="e">
        <f>AND('Species Data'!C151,"AAAAAG7eeN4=")</f>
        <v>#VALUE!</v>
      </c>
      <c r="HP25" t="e">
        <f>AND('Species Data'!D151,"AAAAAG7eeN8=")</f>
        <v>#VALUE!</v>
      </c>
      <c r="HQ25" t="e">
        <f>AND('Species Data'!E151,"AAAAAG7eeOA=")</f>
        <v>#VALUE!</v>
      </c>
      <c r="HR25" t="e">
        <f>AND('Species Data'!F151,"AAAAAG7eeOE=")</f>
        <v>#VALUE!</v>
      </c>
      <c r="HS25" t="e">
        <f>AND('Species Data'!G151,"AAAAAG7eeOI=")</f>
        <v>#VALUE!</v>
      </c>
      <c r="HT25" t="e">
        <f>AND('Species Data'!H151,"AAAAAG7eeOM=")</f>
        <v>#VALUE!</v>
      </c>
      <c r="HU25" t="e">
        <f>AND('Species Data'!I151,"AAAAAG7eeOQ=")</f>
        <v>#VALUE!</v>
      </c>
      <c r="HV25" t="e">
        <f>AND('Species Data'!J151,"AAAAAG7eeOU=")</f>
        <v>#VALUE!</v>
      </c>
      <c r="HW25" t="e">
        <f>AND('Species Data'!K151,"AAAAAG7eeOY=")</f>
        <v>#VALUE!</v>
      </c>
      <c r="HX25" t="e">
        <f>AND('Species Data'!L151,"AAAAAG7eeOc=")</f>
        <v>#VALUE!</v>
      </c>
      <c r="HY25" t="e">
        <f>AND('Species Data'!M151,"AAAAAG7eeOg=")</f>
        <v>#VALUE!</v>
      </c>
      <c r="HZ25" t="e">
        <f>AND('Species Data'!N151,"AAAAAG7eeOk=")</f>
        <v>#VALUE!</v>
      </c>
      <c r="IA25" t="e">
        <f>AND('Species Data'!O151,"AAAAAG7eeOo=")</f>
        <v>#VALUE!</v>
      </c>
      <c r="IB25">
        <f>IF('Species Data'!152:152,"AAAAAG7eeOs=",0)</f>
        <v>0</v>
      </c>
      <c r="IC25" t="e">
        <f>AND('Species Data'!A152,"AAAAAG7eeOw=")</f>
        <v>#VALUE!</v>
      </c>
      <c r="ID25" t="e">
        <f>AND('Species Data'!B152,"AAAAAG7eeO0=")</f>
        <v>#VALUE!</v>
      </c>
      <c r="IE25" t="e">
        <f>AND('Species Data'!C152,"AAAAAG7eeO4=")</f>
        <v>#VALUE!</v>
      </c>
      <c r="IF25" t="e">
        <f>AND('Species Data'!D152,"AAAAAG7eeO8=")</f>
        <v>#VALUE!</v>
      </c>
      <c r="IG25" t="e">
        <f>AND('Species Data'!E152,"AAAAAG7eePA=")</f>
        <v>#VALUE!</v>
      </c>
      <c r="IH25" t="e">
        <f>AND('Species Data'!F152,"AAAAAG7eePE=")</f>
        <v>#VALUE!</v>
      </c>
      <c r="II25" t="e">
        <f>AND('Species Data'!G152,"AAAAAG7eePI=")</f>
        <v>#VALUE!</v>
      </c>
      <c r="IJ25" t="e">
        <f>AND('Species Data'!H152,"AAAAAG7eePM=")</f>
        <v>#VALUE!</v>
      </c>
      <c r="IK25" t="e">
        <f>AND('Species Data'!I152,"AAAAAG7eePQ=")</f>
        <v>#VALUE!</v>
      </c>
      <c r="IL25" t="e">
        <f>AND('Species Data'!J152,"AAAAAG7eePU=")</f>
        <v>#VALUE!</v>
      </c>
      <c r="IM25" t="e">
        <f>AND('Species Data'!K152,"AAAAAG7eePY=")</f>
        <v>#VALUE!</v>
      </c>
      <c r="IN25" t="e">
        <f>AND('Species Data'!L152,"AAAAAG7eePc=")</f>
        <v>#VALUE!</v>
      </c>
      <c r="IO25" t="e">
        <f>AND('Species Data'!M152,"AAAAAG7eePg=")</f>
        <v>#VALUE!</v>
      </c>
      <c r="IP25" t="e">
        <f>AND('Species Data'!N152,"AAAAAG7eePk=")</f>
        <v>#VALUE!</v>
      </c>
      <c r="IQ25" t="e">
        <f>AND('Species Data'!O152,"AAAAAG7eePo=")</f>
        <v>#VALUE!</v>
      </c>
      <c r="IR25">
        <f>IF('Species Data'!153:153,"AAAAAG7eePs=",0)</f>
        <v>0</v>
      </c>
      <c r="IS25" t="e">
        <f>AND('Species Data'!A153,"AAAAAG7eePw=")</f>
        <v>#VALUE!</v>
      </c>
      <c r="IT25" t="e">
        <f>AND('Species Data'!B153,"AAAAAG7eeP0=")</f>
        <v>#VALUE!</v>
      </c>
      <c r="IU25" t="e">
        <f>AND('Species Data'!C153,"AAAAAG7eeP4=")</f>
        <v>#VALUE!</v>
      </c>
      <c r="IV25" t="e">
        <f>AND('Species Data'!D153,"AAAAAG7eeP8=")</f>
        <v>#VALUE!</v>
      </c>
    </row>
    <row r="26" spans="1:256">
      <c r="A26" t="e">
        <f>AND('Species Data'!E153,"AAAAAH71eQA=")</f>
        <v>#VALUE!</v>
      </c>
      <c r="B26" t="e">
        <f>AND('Species Data'!F153,"AAAAAH71eQE=")</f>
        <v>#VALUE!</v>
      </c>
      <c r="C26" t="e">
        <f>AND('Species Data'!G153,"AAAAAH71eQI=")</f>
        <v>#VALUE!</v>
      </c>
      <c r="D26" t="e">
        <f>AND('Species Data'!H153,"AAAAAH71eQM=")</f>
        <v>#VALUE!</v>
      </c>
      <c r="E26" t="e">
        <f>AND('Species Data'!I153,"AAAAAH71eQQ=")</f>
        <v>#VALUE!</v>
      </c>
      <c r="F26" t="e">
        <f>AND('Species Data'!J153,"AAAAAH71eQU=")</f>
        <v>#VALUE!</v>
      </c>
      <c r="G26" t="e">
        <f>AND('Species Data'!K153,"AAAAAH71eQY=")</f>
        <v>#VALUE!</v>
      </c>
      <c r="H26" t="e">
        <f>AND('Species Data'!L153,"AAAAAH71eQc=")</f>
        <v>#VALUE!</v>
      </c>
      <c r="I26" t="e">
        <f>AND('Species Data'!M153,"AAAAAH71eQg=")</f>
        <v>#VALUE!</v>
      </c>
      <c r="J26" t="e">
        <f>AND('Species Data'!N153,"AAAAAH71eQk=")</f>
        <v>#VALUE!</v>
      </c>
      <c r="K26" t="e">
        <f>AND('Species Data'!O153,"AAAAAH71eQo=")</f>
        <v>#VALUE!</v>
      </c>
      <c r="L26">
        <f>IF('Species Data'!154:154,"AAAAAH71eQs=",0)</f>
        <v>0</v>
      </c>
      <c r="M26" t="e">
        <f>AND('Species Data'!A154,"AAAAAH71eQw=")</f>
        <v>#VALUE!</v>
      </c>
      <c r="N26" t="e">
        <f>AND('Species Data'!B154,"AAAAAH71eQ0=")</f>
        <v>#VALUE!</v>
      </c>
      <c r="O26" t="e">
        <f>AND('Species Data'!C154,"AAAAAH71eQ4=")</f>
        <v>#VALUE!</v>
      </c>
      <c r="P26" t="e">
        <f>AND('Species Data'!D154,"AAAAAH71eQ8=")</f>
        <v>#VALUE!</v>
      </c>
      <c r="Q26" t="e">
        <f>AND('Species Data'!E154,"AAAAAH71eRA=")</f>
        <v>#VALUE!</v>
      </c>
      <c r="R26" t="e">
        <f>AND('Species Data'!F154,"AAAAAH71eRE=")</f>
        <v>#VALUE!</v>
      </c>
      <c r="S26" t="e">
        <f>AND('Species Data'!G154,"AAAAAH71eRI=")</f>
        <v>#VALUE!</v>
      </c>
      <c r="T26" t="e">
        <f>AND('Species Data'!H154,"AAAAAH71eRM=")</f>
        <v>#VALUE!</v>
      </c>
      <c r="U26" t="e">
        <f>AND('Species Data'!I154,"AAAAAH71eRQ=")</f>
        <v>#VALUE!</v>
      </c>
      <c r="V26" t="e">
        <f>AND('Species Data'!J154,"AAAAAH71eRU=")</f>
        <v>#VALUE!</v>
      </c>
      <c r="W26" t="e">
        <f>AND('Species Data'!K154,"AAAAAH71eRY=")</f>
        <v>#VALUE!</v>
      </c>
      <c r="X26" t="e">
        <f>AND('Species Data'!L154,"AAAAAH71eRc=")</f>
        <v>#VALUE!</v>
      </c>
      <c r="Y26" t="e">
        <f>AND('Species Data'!M154,"AAAAAH71eRg=")</f>
        <v>#VALUE!</v>
      </c>
      <c r="Z26" t="e">
        <f>AND('Species Data'!N154,"AAAAAH71eRk=")</f>
        <v>#VALUE!</v>
      </c>
      <c r="AA26" t="e">
        <f>AND('Species Data'!O154,"AAAAAH71eRo=")</f>
        <v>#VALUE!</v>
      </c>
      <c r="AB26">
        <f>IF('Species Data'!155:155,"AAAAAH71eRs=",0)</f>
        <v>0</v>
      </c>
      <c r="AC26" t="e">
        <f>AND('Species Data'!A155,"AAAAAH71eRw=")</f>
        <v>#VALUE!</v>
      </c>
      <c r="AD26" t="e">
        <f>AND('Species Data'!B155,"AAAAAH71eR0=")</f>
        <v>#VALUE!</v>
      </c>
      <c r="AE26" t="e">
        <f>AND('Species Data'!C155,"AAAAAH71eR4=")</f>
        <v>#VALUE!</v>
      </c>
      <c r="AF26" t="e">
        <f>AND('Species Data'!D155,"AAAAAH71eR8=")</f>
        <v>#VALUE!</v>
      </c>
      <c r="AG26" t="e">
        <f>AND('Species Data'!E155,"AAAAAH71eSA=")</f>
        <v>#VALUE!</v>
      </c>
      <c r="AH26" t="e">
        <f>AND('Species Data'!F155,"AAAAAH71eSE=")</f>
        <v>#VALUE!</v>
      </c>
      <c r="AI26" t="e">
        <f>AND('Species Data'!G155,"AAAAAH71eSI=")</f>
        <v>#VALUE!</v>
      </c>
      <c r="AJ26" t="e">
        <f>AND('Species Data'!H155,"AAAAAH71eSM=")</f>
        <v>#VALUE!</v>
      </c>
      <c r="AK26" t="e">
        <f>AND('Species Data'!I155,"AAAAAH71eSQ=")</f>
        <v>#VALUE!</v>
      </c>
      <c r="AL26" t="e">
        <f>AND('Species Data'!J155,"AAAAAH71eSU=")</f>
        <v>#VALUE!</v>
      </c>
      <c r="AM26" t="e">
        <f>AND('Species Data'!K155,"AAAAAH71eSY=")</f>
        <v>#VALUE!</v>
      </c>
      <c r="AN26" t="e">
        <f>AND('Species Data'!L155,"AAAAAH71eSc=")</f>
        <v>#VALUE!</v>
      </c>
      <c r="AO26" t="e">
        <f>AND('Species Data'!M155,"AAAAAH71eSg=")</f>
        <v>#VALUE!</v>
      </c>
      <c r="AP26" t="e">
        <f>AND('Species Data'!N155,"AAAAAH71eSk=")</f>
        <v>#VALUE!</v>
      </c>
      <c r="AQ26" t="e">
        <f>AND('Species Data'!O155,"AAAAAH71eSo=")</f>
        <v>#VALUE!</v>
      </c>
      <c r="AR26">
        <f>IF('Species Data'!156:156,"AAAAAH71eSs=",0)</f>
        <v>0</v>
      </c>
      <c r="AS26" t="e">
        <f>AND('Species Data'!A156,"AAAAAH71eSw=")</f>
        <v>#VALUE!</v>
      </c>
      <c r="AT26" t="e">
        <f>AND('Species Data'!B156,"AAAAAH71eS0=")</f>
        <v>#VALUE!</v>
      </c>
      <c r="AU26" t="e">
        <f>AND('Species Data'!C156,"AAAAAH71eS4=")</f>
        <v>#VALUE!</v>
      </c>
      <c r="AV26" t="e">
        <f>AND('Species Data'!D156,"AAAAAH71eS8=")</f>
        <v>#VALUE!</v>
      </c>
      <c r="AW26" t="e">
        <f>AND('Species Data'!E156,"AAAAAH71eTA=")</f>
        <v>#VALUE!</v>
      </c>
      <c r="AX26" t="e">
        <f>AND('Species Data'!F156,"AAAAAH71eTE=")</f>
        <v>#VALUE!</v>
      </c>
      <c r="AY26" t="e">
        <f>AND('Species Data'!G156,"AAAAAH71eTI=")</f>
        <v>#VALUE!</v>
      </c>
      <c r="AZ26" t="e">
        <f>AND('Species Data'!H156,"AAAAAH71eTM=")</f>
        <v>#VALUE!</v>
      </c>
      <c r="BA26" t="e">
        <f>AND('Species Data'!I156,"AAAAAH71eTQ=")</f>
        <v>#VALUE!</v>
      </c>
      <c r="BB26" t="e">
        <f>AND('Species Data'!J156,"AAAAAH71eTU=")</f>
        <v>#VALUE!</v>
      </c>
      <c r="BC26" t="e">
        <f>AND('Species Data'!K156,"AAAAAH71eTY=")</f>
        <v>#VALUE!</v>
      </c>
      <c r="BD26" t="e">
        <f>AND('Species Data'!L156,"AAAAAH71eTc=")</f>
        <v>#VALUE!</v>
      </c>
      <c r="BE26" t="e">
        <f>AND('Species Data'!M156,"AAAAAH71eTg=")</f>
        <v>#VALUE!</v>
      </c>
      <c r="BF26" t="e">
        <f>AND('Species Data'!N156,"AAAAAH71eTk=")</f>
        <v>#VALUE!</v>
      </c>
      <c r="BG26" t="e">
        <f>AND('Species Data'!O156,"AAAAAH71eTo=")</f>
        <v>#VALUE!</v>
      </c>
      <c r="BH26">
        <f>IF('Species Data'!157:157,"AAAAAH71eTs=",0)</f>
        <v>0</v>
      </c>
      <c r="BI26" t="e">
        <f>AND('Species Data'!A157,"AAAAAH71eTw=")</f>
        <v>#VALUE!</v>
      </c>
      <c r="BJ26" t="e">
        <f>AND('Species Data'!B157,"AAAAAH71eT0=")</f>
        <v>#VALUE!</v>
      </c>
      <c r="BK26" t="e">
        <f>AND('Species Data'!C157,"AAAAAH71eT4=")</f>
        <v>#VALUE!</v>
      </c>
      <c r="BL26" t="e">
        <f>AND('Species Data'!D157,"AAAAAH71eT8=")</f>
        <v>#VALUE!</v>
      </c>
      <c r="BM26" t="e">
        <f>AND('Species Data'!E157,"AAAAAH71eUA=")</f>
        <v>#VALUE!</v>
      </c>
      <c r="BN26" t="e">
        <f>AND('Species Data'!F157,"AAAAAH71eUE=")</f>
        <v>#VALUE!</v>
      </c>
      <c r="BO26" t="e">
        <f>AND('Species Data'!G157,"AAAAAH71eUI=")</f>
        <v>#VALUE!</v>
      </c>
      <c r="BP26" t="e">
        <f>AND('Species Data'!H157,"AAAAAH71eUM=")</f>
        <v>#VALUE!</v>
      </c>
      <c r="BQ26" t="e">
        <f>AND('Species Data'!I157,"AAAAAH71eUQ=")</f>
        <v>#VALUE!</v>
      </c>
      <c r="BR26" t="e">
        <f>AND('Species Data'!J157,"AAAAAH71eUU=")</f>
        <v>#VALUE!</v>
      </c>
      <c r="BS26" t="e">
        <f>AND('Species Data'!K157,"AAAAAH71eUY=")</f>
        <v>#VALUE!</v>
      </c>
      <c r="BT26" t="e">
        <f>AND('Species Data'!L157,"AAAAAH71eUc=")</f>
        <v>#VALUE!</v>
      </c>
      <c r="BU26" t="e">
        <f>AND('Species Data'!M157,"AAAAAH71eUg=")</f>
        <v>#VALUE!</v>
      </c>
      <c r="BV26" t="e">
        <f>AND('Species Data'!N157,"AAAAAH71eUk=")</f>
        <v>#VALUE!</v>
      </c>
      <c r="BW26" t="e">
        <f>AND('Species Data'!O157,"AAAAAH71eUo=")</f>
        <v>#VALUE!</v>
      </c>
      <c r="BX26">
        <f>IF('Species Data'!158:158,"AAAAAH71eUs=",0)</f>
        <v>0</v>
      </c>
      <c r="BY26" t="e">
        <f>AND('Species Data'!A158,"AAAAAH71eUw=")</f>
        <v>#VALUE!</v>
      </c>
      <c r="BZ26" t="e">
        <f>AND('Species Data'!B158,"AAAAAH71eU0=")</f>
        <v>#VALUE!</v>
      </c>
      <c r="CA26" t="e">
        <f>AND('Species Data'!C158,"AAAAAH71eU4=")</f>
        <v>#VALUE!</v>
      </c>
      <c r="CB26" t="e">
        <f>AND('Species Data'!D158,"AAAAAH71eU8=")</f>
        <v>#VALUE!</v>
      </c>
      <c r="CC26" t="e">
        <f>AND('Species Data'!E158,"AAAAAH71eVA=")</f>
        <v>#VALUE!</v>
      </c>
      <c r="CD26" t="e">
        <f>AND('Species Data'!F158,"AAAAAH71eVE=")</f>
        <v>#VALUE!</v>
      </c>
      <c r="CE26" t="e">
        <f>AND('Species Data'!G158,"AAAAAH71eVI=")</f>
        <v>#VALUE!</v>
      </c>
      <c r="CF26" t="e">
        <f>AND('Species Data'!H158,"AAAAAH71eVM=")</f>
        <v>#VALUE!</v>
      </c>
      <c r="CG26" t="e">
        <f>AND('Species Data'!I158,"AAAAAH71eVQ=")</f>
        <v>#VALUE!</v>
      </c>
      <c r="CH26" t="e">
        <f>AND('Species Data'!J158,"AAAAAH71eVU=")</f>
        <v>#VALUE!</v>
      </c>
      <c r="CI26" t="e">
        <f>AND('Species Data'!K158,"AAAAAH71eVY=")</f>
        <v>#VALUE!</v>
      </c>
      <c r="CJ26" t="e">
        <f>AND('Species Data'!L158,"AAAAAH71eVc=")</f>
        <v>#VALUE!</v>
      </c>
      <c r="CK26" t="e">
        <f>AND('Species Data'!M158,"AAAAAH71eVg=")</f>
        <v>#VALUE!</v>
      </c>
      <c r="CL26" t="e">
        <f>AND('Species Data'!N158,"AAAAAH71eVk=")</f>
        <v>#VALUE!</v>
      </c>
      <c r="CM26" t="e">
        <f>AND('Species Data'!O158,"AAAAAH71eVo=")</f>
        <v>#VALUE!</v>
      </c>
      <c r="CN26">
        <f>IF('Species Data'!159:159,"AAAAAH71eVs=",0)</f>
        <v>0</v>
      </c>
      <c r="CO26" t="e">
        <f>AND('Species Data'!A159,"AAAAAH71eVw=")</f>
        <v>#VALUE!</v>
      </c>
      <c r="CP26" t="e">
        <f>AND('Species Data'!B159,"AAAAAH71eV0=")</f>
        <v>#VALUE!</v>
      </c>
      <c r="CQ26" t="e">
        <f>AND('Species Data'!C159,"AAAAAH71eV4=")</f>
        <v>#VALUE!</v>
      </c>
      <c r="CR26" t="e">
        <f>AND('Species Data'!D159,"AAAAAH71eV8=")</f>
        <v>#VALUE!</v>
      </c>
      <c r="CS26" t="e">
        <f>AND('Species Data'!E159,"AAAAAH71eWA=")</f>
        <v>#VALUE!</v>
      </c>
      <c r="CT26" t="e">
        <f>AND('Species Data'!F159,"AAAAAH71eWE=")</f>
        <v>#VALUE!</v>
      </c>
      <c r="CU26" t="e">
        <f>AND('Species Data'!G159,"AAAAAH71eWI=")</f>
        <v>#VALUE!</v>
      </c>
      <c r="CV26" t="e">
        <f>AND('Species Data'!H159,"AAAAAH71eWM=")</f>
        <v>#VALUE!</v>
      </c>
      <c r="CW26" t="e">
        <f>AND('Species Data'!I159,"AAAAAH71eWQ=")</f>
        <v>#VALUE!</v>
      </c>
      <c r="CX26" t="e">
        <f>AND('Species Data'!J159,"AAAAAH71eWU=")</f>
        <v>#VALUE!</v>
      </c>
      <c r="CY26" t="e">
        <f>AND('Species Data'!K159,"AAAAAH71eWY=")</f>
        <v>#VALUE!</v>
      </c>
      <c r="CZ26" t="e">
        <f>AND('Species Data'!L159,"AAAAAH71eWc=")</f>
        <v>#VALUE!</v>
      </c>
      <c r="DA26" t="e">
        <f>AND('Species Data'!M159,"AAAAAH71eWg=")</f>
        <v>#VALUE!</v>
      </c>
      <c r="DB26" t="e">
        <f>AND('Species Data'!N159,"AAAAAH71eWk=")</f>
        <v>#VALUE!</v>
      </c>
      <c r="DC26" t="e">
        <f>AND('Species Data'!O159,"AAAAAH71eWo=")</f>
        <v>#VALUE!</v>
      </c>
      <c r="DD26">
        <f>IF('Species Data'!160:160,"AAAAAH71eWs=",0)</f>
        <v>0</v>
      </c>
      <c r="DE26" t="e">
        <f>AND('Species Data'!A160,"AAAAAH71eWw=")</f>
        <v>#VALUE!</v>
      </c>
      <c r="DF26" t="e">
        <f>AND('Species Data'!B160,"AAAAAH71eW0=")</f>
        <v>#VALUE!</v>
      </c>
      <c r="DG26" t="e">
        <f>AND('Species Data'!C160,"AAAAAH71eW4=")</f>
        <v>#VALUE!</v>
      </c>
      <c r="DH26" t="e">
        <f>AND('Species Data'!D160,"AAAAAH71eW8=")</f>
        <v>#VALUE!</v>
      </c>
      <c r="DI26" t="e">
        <f>AND('Species Data'!E160,"AAAAAH71eXA=")</f>
        <v>#VALUE!</v>
      </c>
      <c r="DJ26" t="e">
        <f>AND('Species Data'!F160,"AAAAAH71eXE=")</f>
        <v>#VALUE!</v>
      </c>
      <c r="DK26" t="e">
        <f>AND('Species Data'!G160,"AAAAAH71eXI=")</f>
        <v>#VALUE!</v>
      </c>
      <c r="DL26" t="e">
        <f>AND('Species Data'!H160,"AAAAAH71eXM=")</f>
        <v>#VALUE!</v>
      </c>
      <c r="DM26" t="e">
        <f>AND('Species Data'!I160,"AAAAAH71eXQ=")</f>
        <v>#VALUE!</v>
      </c>
      <c r="DN26" t="e">
        <f>AND('Species Data'!J160,"AAAAAH71eXU=")</f>
        <v>#VALUE!</v>
      </c>
      <c r="DO26" t="e">
        <f>AND('Species Data'!K160,"AAAAAH71eXY=")</f>
        <v>#VALUE!</v>
      </c>
      <c r="DP26" t="e">
        <f>AND('Species Data'!L160,"AAAAAH71eXc=")</f>
        <v>#VALUE!</v>
      </c>
      <c r="DQ26" t="e">
        <f>AND('Species Data'!M160,"AAAAAH71eXg=")</f>
        <v>#VALUE!</v>
      </c>
      <c r="DR26" t="e">
        <f>AND('Species Data'!N160,"AAAAAH71eXk=")</f>
        <v>#VALUE!</v>
      </c>
      <c r="DS26" t="e">
        <f>AND('Species Data'!O160,"AAAAAH71eXo=")</f>
        <v>#VALUE!</v>
      </c>
      <c r="DT26">
        <f>IF('Species Data'!161:161,"AAAAAH71eXs=",0)</f>
        <v>0</v>
      </c>
      <c r="DU26" t="e">
        <f>AND('Species Data'!A161,"AAAAAH71eXw=")</f>
        <v>#VALUE!</v>
      </c>
      <c r="DV26" t="e">
        <f>AND('Species Data'!B161,"AAAAAH71eX0=")</f>
        <v>#VALUE!</v>
      </c>
      <c r="DW26" t="e">
        <f>AND('Species Data'!C161,"AAAAAH71eX4=")</f>
        <v>#VALUE!</v>
      </c>
      <c r="DX26" t="e">
        <f>AND('Species Data'!D161,"AAAAAH71eX8=")</f>
        <v>#VALUE!</v>
      </c>
      <c r="DY26" t="e">
        <f>AND('Species Data'!E161,"AAAAAH71eYA=")</f>
        <v>#VALUE!</v>
      </c>
      <c r="DZ26" t="e">
        <f>AND('Species Data'!F161,"AAAAAH71eYE=")</f>
        <v>#VALUE!</v>
      </c>
      <c r="EA26" t="e">
        <f>AND('Species Data'!G161,"AAAAAH71eYI=")</f>
        <v>#VALUE!</v>
      </c>
      <c r="EB26" t="e">
        <f>AND('Species Data'!H161,"AAAAAH71eYM=")</f>
        <v>#VALUE!</v>
      </c>
      <c r="EC26" t="e">
        <f>AND('Species Data'!I161,"AAAAAH71eYQ=")</f>
        <v>#VALUE!</v>
      </c>
      <c r="ED26" t="e">
        <f>AND('Species Data'!J161,"AAAAAH71eYU=")</f>
        <v>#VALUE!</v>
      </c>
      <c r="EE26" t="e">
        <f>AND('Species Data'!K161,"AAAAAH71eYY=")</f>
        <v>#VALUE!</v>
      </c>
      <c r="EF26" t="e">
        <f>AND('Species Data'!L161,"AAAAAH71eYc=")</f>
        <v>#VALUE!</v>
      </c>
      <c r="EG26" t="e">
        <f>AND('Species Data'!M161,"AAAAAH71eYg=")</f>
        <v>#VALUE!</v>
      </c>
      <c r="EH26" t="e">
        <f>AND('Species Data'!N161,"AAAAAH71eYk=")</f>
        <v>#VALUE!</v>
      </c>
      <c r="EI26" t="e">
        <f>AND('Species Data'!O161,"AAAAAH71eYo=")</f>
        <v>#VALUE!</v>
      </c>
      <c r="EJ26">
        <f>IF('Species Data'!162:162,"AAAAAH71eYs=",0)</f>
        <v>0</v>
      </c>
      <c r="EK26" t="e">
        <f>AND('Species Data'!A162,"AAAAAH71eYw=")</f>
        <v>#VALUE!</v>
      </c>
      <c r="EL26" t="e">
        <f>AND('Species Data'!B162,"AAAAAH71eY0=")</f>
        <v>#VALUE!</v>
      </c>
      <c r="EM26" t="e">
        <f>AND('Species Data'!C162,"AAAAAH71eY4=")</f>
        <v>#VALUE!</v>
      </c>
      <c r="EN26" t="e">
        <f>AND('Species Data'!D162,"AAAAAH71eY8=")</f>
        <v>#VALUE!</v>
      </c>
      <c r="EO26" t="e">
        <f>AND('Species Data'!E162,"AAAAAH71eZA=")</f>
        <v>#VALUE!</v>
      </c>
      <c r="EP26" t="e">
        <f>AND('Species Data'!F162,"AAAAAH71eZE=")</f>
        <v>#VALUE!</v>
      </c>
      <c r="EQ26" t="e">
        <f>AND('Species Data'!G162,"AAAAAH71eZI=")</f>
        <v>#VALUE!</v>
      </c>
      <c r="ER26" t="e">
        <f>AND('Species Data'!H162,"AAAAAH71eZM=")</f>
        <v>#VALUE!</v>
      </c>
      <c r="ES26" t="e">
        <f>AND('Species Data'!I162,"AAAAAH71eZQ=")</f>
        <v>#VALUE!</v>
      </c>
      <c r="ET26" t="e">
        <f>AND('Species Data'!J162,"AAAAAH71eZU=")</f>
        <v>#VALUE!</v>
      </c>
      <c r="EU26" t="e">
        <f>AND('Species Data'!K162,"AAAAAH71eZY=")</f>
        <v>#VALUE!</v>
      </c>
      <c r="EV26" t="e">
        <f>AND('Species Data'!L162,"AAAAAH71eZc=")</f>
        <v>#VALUE!</v>
      </c>
      <c r="EW26" t="e">
        <f>AND('Species Data'!M162,"AAAAAH71eZg=")</f>
        <v>#VALUE!</v>
      </c>
      <c r="EX26" t="e">
        <f>AND('Species Data'!N162,"AAAAAH71eZk=")</f>
        <v>#VALUE!</v>
      </c>
      <c r="EY26" t="e">
        <f>AND('Species Data'!O162,"AAAAAH71eZo=")</f>
        <v>#VALUE!</v>
      </c>
      <c r="EZ26">
        <f>IF('Species Data'!163:163,"AAAAAH71eZs=",0)</f>
        <v>0</v>
      </c>
      <c r="FA26" t="e">
        <f>AND('Species Data'!A163,"AAAAAH71eZw=")</f>
        <v>#VALUE!</v>
      </c>
      <c r="FB26" t="e">
        <f>AND('Species Data'!B163,"AAAAAH71eZ0=")</f>
        <v>#VALUE!</v>
      </c>
      <c r="FC26" t="e">
        <f>AND('Species Data'!C163,"AAAAAH71eZ4=")</f>
        <v>#VALUE!</v>
      </c>
      <c r="FD26" t="e">
        <f>AND('Species Data'!D163,"AAAAAH71eZ8=")</f>
        <v>#VALUE!</v>
      </c>
      <c r="FE26" t="e">
        <f>AND('Species Data'!E163,"AAAAAH71eaA=")</f>
        <v>#VALUE!</v>
      </c>
      <c r="FF26" t="e">
        <f>AND('Species Data'!F163,"AAAAAH71eaE=")</f>
        <v>#VALUE!</v>
      </c>
      <c r="FG26" t="e">
        <f>AND('Species Data'!G163,"AAAAAH71eaI=")</f>
        <v>#VALUE!</v>
      </c>
      <c r="FH26" t="e">
        <f>AND('Species Data'!H163,"AAAAAH71eaM=")</f>
        <v>#VALUE!</v>
      </c>
      <c r="FI26" t="e">
        <f>AND('Species Data'!I163,"AAAAAH71eaQ=")</f>
        <v>#VALUE!</v>
      </c>
      <c r="FJ26" t="e">
        <f>AND('Species Data'!J163,"AAAAAH71eaU=")</f>
        <v>#VALUE!</v>
      </c>
      <c r="FK26" t="e">
        <f>AND('Species Data'!K163,"AAAAAH71eaY=")</f>
        <v>#VALUE!</v>
      </c>
      <c r="FL26" t="e">
        <f>AND('Species Data'!L163,"AAAAAH71eac=")</f>
        <v>#VALUE!</v>
      </c>
      <c r="FM26" t="e">
        <f>AND('Species Data'!M163,"AAAAAH71eag=")</f>
        <v>#VALUE!</v>
      </c>
      <c r="FN26" t="e">
        <f>AND('Species Data'!N163,"AAAAAH71eak=")</f>
        <v>#VALUE!</v>
      </c>
      <c r="FO26" t="e">
        <f>AND('Species Data'!O163,"AAAAAH71eao=")</f>
        <v>#VALUE!</v>
      </c>
      <c r="FP26">
        <f>IF('Species Data'!164:164,"AAAAAH71eas=",0)</f>
        <v>0</v>
      </c>
      <c r="FQ26" t="e">
        <f>AND('Species Data'!A164,"AAAAAH71eaw=")</f>
        <v>#VALUE!</v>
      </c>
      <c r="FR26" t="e">
        <f>AND('Species Data'!B164,"AAAAAH71ea0=")</f>
        <v>#VALUE!</v>
      </c>
      <c r="FS26" t="e">
        <f>AND('Species Data'!C164,"AAAAAH71ea4=")</f>
        <v>#VALUE!</v>
      </c>
      <c r="FT26" t="e">
        <f>AND('Species Data'!D164,"AAAAAH71ea8=")</f>
        <v>#VALUE!</v>
      </c>
      <c r="FU26" t="e">
        <f>AND('Species Data'!E164,"AAAAAH71ebA=")</f>
        <v>#VALUE!</v>
      </c>
      <c r="FV26" t="e">
        <f>AND('Species Data'!F164,"AAAAAH71ebE=")</f>
        <v>#VALUE!</v>
      </c>
      <c r="FW26" t="e">
        <f>AND('Species Data'!G164,"AAAAAH71ebI=")</f>
        <v>#VALUE!</v>
      </c>
      <c r="FX26" t="e">
        <f>AND('Species Data'!H164,"AAAAAH71ebM=")</f>
        <v>#VALUE!</v>
      </c>
      <c r="FY26" t="e">
        <f>AND('Species Data'!I164,"AAAAAH71ebQ=")</f>
        <v>#VALUE!</v>
      </c>
      <c r="FZ26" t="e">
        <f>AND('Species Data'!J164,"AAAAAH71ebU=")</f>
        <v>#VALUE!</v>
      </c>
      <c r="GA26" t="e">
        <f>AND('Species Data'!K164,"AAAAAH71ebY=")</f>
        <v>#VALUE!</v>
      </c>
      <c r="GB26" t="e">
        <f>AND('Species Data'!L164,"AAAAAH71ebc=")</f>
        <v>#VALUE!</v>
      </c>
      <c r="GC26" t="e">
        <f>AND('Species Data'!M164,"AAAAAH71ebg=")</f>
        <v>#VALUE!</v>
      </c>
      <c r="GD26" t="e">
        <f>AND('Species Data'!N164,"AAAAAH71ebk=")</f>
        <v>#VALUE!</v>
      </c>
      <c r="GE26" t="e">
        <f>AND('Species Data'!O164,"AAAAAH71ebo=")</f>
        <v>#VALUE!</v>
      </c>
      <c r="GF26">
        <f>IF('Species Data'!165:165,"AAAAAH71ebs=",0)</f>
        <v>0</v>
      </c>
      <c r="GG26" t="e">
        <f>AND('Species Data'!A165,"AAAAAH71ebw=")</f>
        <v>#VALUE!</v>
      </c>
      <c r="GH26" t="e">
        <f>AND('Species Data'!B165,"AAAAAH71eb0=")</f>
        <v>#VALUE!</v>
      </c>
      <c r="GI26" t="e">
        <f>AND('Species Data'!C165,"AAAAAH71eb4=")</f>
        <v>#VALUE!</v>
      </c>
      <c r="GJ26" t="e">
        <f>AND('Species Data'!D165,"AAAAAH71eb8=")</f>
        <v>#VALUE!</v>
      </c>
      <c r="GK26" t="e">
        <f>AND('Species Data'!E165,"AAAAAH71ecA=")</f>
        <v>#VALUE!</v>
      </c>
      <c r="GL26" t="e">
        <f>AND('Species Data'!F165,"AAAAAH71ecE=")</f>
        <v>#VALUE!</v>
      </c>
      <c r="GM26" t="e">
        <f>AND('Species Data'!G165,"AAAAAH71ecI=")</f>
        <v>#VALUE!</v>
      </c>
      <c r="GN26" t="e">
        <f>AND('Species Data'!H165,"AAAAAH71ecM=")</f>
        <v>#VALUE!</v>
      </c>
      <c r="GO26" t="e">
        <f>AND('Species Data'!I165,"AAAAAH71ecQ=")</f>
        <v>#VALUE!</v>
      </c>
      <c r="GP26" t="e">
        <f>AND('Species Data'!J165,"AAAAAH71ecU=")</f>
        <v>#VALUE!</v>
      </c>
      <c r="GQ26" t="e">
        <f>AND('Species Data'!K165,"AAAAAH71ecY=")</f>
        <v>#VALUE!</v>
      </c>
      <c r="GR26" t="e">
        <f>AND('Species Data'!L165,"AAAAAH71ecc=")</f>
        <v>#VALUE!</v>
      </c>
      <c r="GS26" t="e">
        <f>AND('Species Data'!M165,"AAAAAH71ecg=")</f>
        <v>#VALUE!</v>
      </c>
      <c r="GT26" t="e">
        <f>AND('Species Data'!N165,"AAAAAH71eck=")</f>
        <v>#VALUE!</v>
      </c>
      <c r="GU26" t="e">
        <f>AND('Species Data'!O165,"AAAAAH71eco=")</f>
        <v>#VALUE!</v>
      </c>
      <c r="GV26">
        <f>IF('Species Data'!166:166,"AAAAAH71ecs=",0)</f>
        <v>0</v>
      </c>
      <c r="GW26" t="e">
        <f>AND('Species Data'!A166,"AAAAAH71ecw=")</f>
        <v>#VALUE!</v>
      </c>
      <c r="GX26" t="e">
        <f>AND('Species Data'!B166,"AAAAAH71ec0=")</f>
        <v>#VALUE!</v>
      </c>
      <c r="GY26" t="e">
        <f>AND('Species Data'!C166,"AAAAAH71ec4=")</f>
        <v>#VALUE!</v>
      </c>
      <c r="GZ26" t="e">
        <f>AND('Species Data'!D166,"AAAAAH71ec8=")</f>
        <v>#VALUE!</v>
      </c>
      <c r="HA26" t="e">
        <f>AND('Species Data'!E166,"AAAAAH71edA=")</f>
        <v>#VALUE!</v>
      </c>
      <c r="HB26" t="e">
        <f>AND('Species Data'!F166,"AAAAAH71edE=")</f>
        <v>#VALUE!</v>
      </c>
      <c r="HC26" t="e">
        <f>AND('Species Data'!G166,"AAAAAH71edI=")</f>
        <v>#VALUE!</v>
      </c>
      <c r="HD26" t="e">
        <f>AND('Species Data'!H166,"AAAAAH71edM=")</f>
        <v>#VALUE!</v>
      </c>
      <c r="HE26" t="e">
        <f>AND('Species Data'!I166,"AAAAAH71edQ=")</f>
        <v>#VALUE!</v>
      </c>
      <c r="HF26" t="e">
        <f>AND('Species Data'!J166,"AAAAAH71edU=")</f>
        <v>#VALUE!</v>
      </c>
      <c r="HG26" t="e">
        <f>AND('Species Data'!K166,"AAAAAH71edY=")</f>
        <v>#VALUE!</v>
      </c>
      <c r="HH26" t="e">
        <f>AND('Species Data'!L166,"AAAAAH71edc=")</f>
        <v>#VALUE!</v>
      </c>
      <c r="HI26" t="e">
        <f>AND('Species Data'!M166,"AAAAAH71edg=")</f>
        <v>#VALUE!</v>
      </c>
      <c r="HJ26" t="e">
        <f>AND('Species Data'!N166,"AAAAAH71edk=")</f>
        <v>#VALUE!</v>
      </c>
      <c r="HK26" t="e">
        <f>AND('Species Data'!O166,"AAAAAH71edo=")</f>
        <v>#VALUE!</v>
      </c>
      <c r="HL26">
        <f>IF('Species Data'!167:167,"AAAAAH71eds=",0)</f>
        <v>0</v>
      </c>
      <c r="HM26" t="e">
        <f>AND('Species Data'!A167,"AAAAAH71edw=")</f>
        <v>#VALUE!</v>
      </c>
      <c r="HN26" t="e">
        <f>AND('Species Data'!B167,"AAAAAH71ed0=")</f>
        <v>#VALUE!</v>
      </c>
      <c r="HO26" t="e">
        <f>AND('Species Data'!C167,"AAAAAH71ed4=")</f>
        <v>#VALUE!</v>
      </c>
      <c r="HP26" t="e">
        <f>AND('Species Data'!D167,"AAAAAH71ed8=")</f>
        <v>#VALUE!</v>
      </c>
      <c r="HQ26" t="e">
        <f>AND('Species Data'!E167,"AAAAAH71eeA=")</f>
        <v>#VALUE!</v>
      </c>
      <c r="HR26" t="e">
        <f>AND('Species Data'!F167,"AAAAAH71eeE=")</f>
        <v>#VALUE!</v>
      </c>
      <c r="HS26" t="e">
        <f>AND('Species Data'!G167,"AAAAAH71eeI=")</f>
        <v>#VALUE!</v>
      </c>
      <c r="HT26" t="e">
        <f>AND('Species Data'!H167,"AAAAAH71eeM=")</f>
        <v>#VALUE!</v>
      </c>
      <c r="HU26" t="e">
        <f>AND('Species Data'!I167,"AAAAAH71eeQ=")</f>
        <v>#VALUE!</v>
      </c>
      <c r="HV26" t="e">
        <f>AND('Species Data'!J167,"AAAAAH71eeU=")</f>
        <v>#VALUE!</v>
      </c>
      <c r="HW26" t="e">
        <f>AND('Species Data'!K167,"AAAAAH71eeY=")</f>
        <v>#VALUE!</v>
      </c>
      <c r="HX26" t="e">
        <f>AND('Species Data'!L167,"AAAAAH71eec=")</f>
        <v>#VALUE!</v>
      </c>
      <c r="HY26" t="e">
        <f>AND('Species Data'!M167,"AAAAAH71eeg=")</f>
        <v>#VALUE!</v>
      </c>
      <c r="HZ26" t="e">
        <f>AND('Species Data'!N167,"AAAAAH71eek=")</f>
        <v>#VALUE!</v>
      </c>
      <c r="IA26" t="e">
        <f>AND('Species Data'!O167,"AAAAAH71eeo=")</f>
        <v>#VALUE!</v>
      </c>
      <c r="IB26">
        <f>IF('Species Data'!168:168,"AAAAAH71ees=",0)</f>
        <v>0</v>
      </c>
      <c r="IC26" t="e">
        <f>AND('Species Data'!A168,"AAAAAH71eew=")</f>
        <v>#VALUE!</v>
      </c>
      <c r="ID26" t="e">
        <f>AND('Species Data'!B168,"AAAAAH71ee0=")</f>
        <v>#VALUE!</v>
      </c>
      <c r="IE26" t="e">
        <f>AND('Species Data'!C168,"AAAAAH71ee4=")</f>
        <v>#VALUE!</v>
      </c>
      <c r="IF26" t="e">
        <f>AND('Species Data'!D168,"AAAAAH71ee8=")</f>
        <v>#VALUE!</v>
      </c>
      <c r="IG26" t="e">
        <f>AND('Species Data'!E168,"AAAAAH71efA=")</f>
        <v>#VALUE!</v>
      </c>
      <c r="IH26" t="e">
        <f>AND('Species Data'!F168,"AAAAAH71efE=")</f>
        <v>#VALUE!</v>
      </c>
      <c r="II26" t="e">
        <f>AND('Species Data'!G168,"AAAAAH71efI=")</f>
        <v>#VALUE!</v>
      </c>
      <c r="IJ26" t="e">
        <f>AND('Species Data'!H168,"AAAAAH71efM=")</f>
        <v>#VALUE!</v>
      </c>
      <c r="IK26" t="e">
        <f>AND('Species Data'!I168,"AAAAAH71efQ=")</f>
        <v>#VALUE!</v>
      </c>
      <c r="IL26" t="e">
        <f>AND('Species Data'!J168,"AAAAAH71efU=")</f>
        <v>#VALUE!</v>
      </c>
      <c r="IM26" t="e">
        <f>AND('Species Data'!K168,"AAAAAH71efY=")</f>
        <v>#VALUE!</v>
      </c>
      <c r="IN26" t="e">
        <f>AND('Species Data'!L168,"AAAAAH71efc=")</f>
        <v>#VALUE!</v>
      </c>
      <c r="IO26" t="e">
        <f>AND('Species Data'!M168,"AAAAAH71efg=")</f>
        <v>#VALUE!</v>
      </c>
      <c r="IP26" t="e">
        <f>AND('Species Data'!N168,"AAAAAH71efk=")</f>
        <v>#VALUE!</v>
      </c>
      <c r="IQ26" t="e">
        <f>AND('Species Data'!O168,"AAAAAH71efo=")</f>
        <v>#VALUE!</v>
      </c>
      <c r="IR26">
        <f>IF('Species Data'!169:169,"AAAAAH71efs=",0)</f>
        <v>0</v>
      </c>
      <c r="IS26" t="e">
        <f>AND('Species Data'!A169,"AAAAAH71efw=")</f>
        <v>#VALUE!</v>
      </c>
      <c r="IT26" t="e">
        <f>AND('Species Data'!B169,"AAAAAH71ef0=")</f>
        <v>#VALUE!</v>
      </c>
      <c r="IU26" t="e">
        <f>AND('Species Data'!C169,"AAAAAH71ef4=")</f>
        <v>#VALUE!</v>
      </c>
      <c r="IV26" t="e">
        <f>AND('Species Data'!D169,"AAAAAH71ef8=")</f>
        <v>#VALUE!</v>
      </c>
    </row>
    <row r="27" spans="1:256">
      <c r="A27" t="e">
        <f>AND('Species Data'!E169,"AAAAAG/fmwA=")</f>
        <v>#VALUE!</v>
      </c>
      <c r="B27" t="e">
        <f>AND('Species Data'!F169,"AAAAAG/fmwE=")</f>
        <v>#VALUE!</v>
      </c>
      <c r="C27" t="e">
        <f>AND('Species Data'!G169,"AAAAAG/fmwI=")</f>
        <v>#VALUE!</v>
      </c>
      <c r="D27" t="e">
        <f>AND('Species Data'!H169,"AAAAAG/fmwM=")</f>
        <v>#VALUE!</v>
      </c>
      <c r="E27" t="e">
        <f>AND('Species Data'!I169,"AAAAAG/fmwQ=")</f>
        <v>#VALUE!</v>
      </c>
      <c r="F27" t="e">
        <f>AND('Species Data'!J169,"AAAAAG/fmwU=")</f>
        <v>#VALUE!</v>
      </c>
      <c r="G27" t="e">
        <f>AND('Species Data'!K169,"AAAAAG/fmwY=")</f>
        <v>#VALUE!</v>
      </c>
      <c r="H27" t="e">
        <f>AND('Species Data'!L169,"AAAAAG/fmwc=")</f>
        <v>#VALUE!</v>
      </c>
      <c r="I27" t="e">
        <f>AND('Species Data'!M169,"AAAAAG/fmwg=")</f>
        <v>#VALUE!</v>
      </c>
      <c r="J27" t="e">
        <f>AND('Species Data'!N169,"AAAAAG/fmwk=")</f>
        <v>#VALUE!</v>
      </c>
      <c r="K27" t="e">
        <f>AND('Species Data'!O169,"AAAAAG/fmwo=")</f>
        <v>#VALUE!</v>
      </c>
      <c r="L27">
        <f>IF('Species Data'!170:170,"AAAAAG/fmws=",0)</f>
        <v>0</v>
      </c>
      <c r="M27" t="e">
        <f>AND('Species Data'!A170,"AAAAAG/fmww=")</f>
        <v>#VALUE!</v>
      </c>
      <c r="N27" t="e">
        <f>AND('Species Data'!B170,"AAAAAG/fmw0=")</f>
        <v>#VALUE!</v>
      </c>
      <c r="O27" t="e">
        <f>AND('Species Data'!C170,"AAAAAG/fmw4=")</f>
        <v>#VALUE!</v>
      </c>
      <c r="P27" t="e">
        <f>AND('Species Data'!D170,"AAAAAG/fmw8=")</f>
        <v>#VALUE!</v>
      </c>
      <c r="Q27" t="e">
        <f>AND('Species Data'!E170,"AAAAAG/fmxA=")</f>
        <v>#VALUE!</v>
      </c>
      <c r="R27" t="e">
        <f>AND('Species Data'!F170,"AAAAAG/fmxE=")</f>
        <v>#VALUE!</v>
      </c>
      <c r="S27" t="e">
        <f>AND('Species Data'!G170,"AAAAAG/fmxI=")</f>
        <v>#VALUE!</v>
      </c>
      <c r="T27" t="e">
        <f>AND('Species Data'!H170,"AAAAAG/fmxM=")</f>
        <v>#VALUE!</v>
      </c>
      <c r="U27" t="e">
        <f>AND('Species Data'!I170,"AAAAAG/fmxQ=")</f>
        <v>#VALUE!</v>
      </c>
      <c r="V27" t="e">
        <f>AND('Species Data'!J170,"AAAAAG/fmxU=")</f>
        <v>#VALUE!</v>
      </c>
      <c r="W27" t="e">
        <f>AND('Species Data'!K170,"AAAAAG/fmxY=")</f>
        <v>#VALUE!</v>
      </c>
      <c r="X27" t="e">
        <f>AND('Species Data'!L170,"AAAAAG/fmxc=")</f>
        <v>#VALUE!</v>
      </c>
      <c r="Y27" t="e">
        <f>AND('Species Data'!M170,"AAAAAG/fmxg=")</f>
        <v>#VALUE!</v>
      </c>
      <c r="Z27" t="e">
        <f>AND('Species Data'!N170,"AAAAAG/fmxk=")</f>
        <v>#VALUE!</v>
      </c>
      <c r="AA27" t="e">
        <f>AND('Species Data'!O170,"AAAAAG/fmxo=")</f>
        <v>#VALUE!</v>
      </c>
      <c r="AB27">
        <f>IF('Species Data'!171:171,"AAAAAG/fmxs=",0)</f>
        <v>0</v>
      </c>
      <c r="AC27" t="e">
        <f>AND('Species Data'!A171,"AAAAAG/fmxw=")</f>
        <v>#VALUE!</v>
      </c>
      <c r="AD27" t="e">
        <f>AND('Species Data'!B171,"AAAAAG/fmx0=")</f>
        <v>#VALUE!</v>
      </c>
      <c r="AE27" t="e">
        <f>AND('Species Data'!C171,"AAAAAG/fmx4=")</f>
        <v>#VALUE!</v>
      </c>
      <c r="AF27" t="e">
        <f>AND('Species Data'!D171,"AAAAAG/fmx8=")</f>
        <v>#VALUE!</v>
      </c>
      <c r="AG27" t="e">
        <f>AND('Species Data'!E171,"AAAAAG/fmyA=")</f>
        <v>#VALUE!</v>
      </c>
      <c r="AH27" t="e">
        <f>AND('Species Data'!F171,"AAAAAG/fmyE=")</f>
        <v>#VALUE!</v>
      </c>
      <c r="AI27" t="e">
        <f>AND('Species Data'!G171,"AAAAAG/fmyI=")</f>
        <v>#VALUE!</v>
      </c>
      <c r="AJ27" t="e">
        <f>AND('Species Data'!H171,"AAAAAG/fmyM=")</f>
        <v>#VALUE!</v>
      </c>
      <c r="AK27" t="e">
        <f>AND('Species Data'!I171,"AAAAAG/fmyQ=")</f>
        <v>#VALUE!</v>
      </c>
      <c r="AL27" t="e">
        <f>AND('Species Data'!J171,"AAAAAG/fmyU=")</f>
        <v>#VALUE!</v>
      </c>
      <c r="AM27" t="e">
        <f>AND('Species Data'!K171,"AAAAAG/fmyY=")</f>
        <v>#VALUE!</v>
      </c>
      <c r="AN27" t="e">
        <f>AND('Species Data'!L171,"AAAAAG/fmyc=")</f>
        <v>#VALUE!</v>
      </c>
      <c r="AO27" t="e">
        <f>AND('Species Data'!M171,"AAAAAG/fmyg=")</f>
        <v>#VALUE!</v>
      </c>
      <c r="AP27" t="e">
        <f>AND('Species Data'!N171,"AAAAAG/fmyk=")</f>
        <v>#VALUE!</v>
      </c>
      <c r="AQ27" t="e">
        <f>AND('Species Data'!O171,"AAAAAG/fmyo=")</f>
        <v>#VALUE!</v>
      </c>
      <c r="AR27">
        <f>IF('Species Data'!172:172,"AAAAAG/fmys=",0)</f>
        <v>0</v>
      </c>
      <c r="AS27" t="e">
        <f>AND('Species Data'!A172,"AAAAAG/fmyw=")</f>
        <v>#VALUE!</v>
      </c>
      <c r="AT27" t="e">
        <f>AND('Species Data'!B172,"AAAAAG/fmy0=")</f>
        <v>#VALUE!</v>
      </c>
      <c r="AU27" t="e">
        <f>AND('Species Data'!C172,"AAAAAG/fmy4=")</f>
        <v>#VALUE!</v>
      </c>
      <c r="AV27" t="e">
        <f>AND('Species Data'!D172,"AAAAAG/fmy8=")</f>
        <v>#VALUE!</v>
      </c>
      <c r="AW27" t="e">
        <f>AND('Species Data'!E172,"AAAAAG/fmzA=")</f>
        <v>#VALUE!</v>
      </c>
      <c r="AX27" t="e">
        <f>AND('Species Data'!F172,"AAAAAG/fmzE=")</f>
        <v>#VALUE!</v>
      </c>
      <c r="AY27" t="e">
        <f>AND('Species Data'!G172,"AAAAAG/fmzI=")</f>
        <v>#VALUE!</v>
      </c>
      <c r="AZ27" t="e">
        <f>AND('Species Data'!H172,"AAAAAG/fmzM=")</f>
        <v>#VALUE!</v>
      </c>
      <c r="BA27" t="e">
        <f>AND('Species Data'!I172,"AAAAAG/fmzQ=")</f>
        <v>#VALUE!</v>
      </c>
      <c r="BB27" t="e">
        <f>AND('Species Data'!J172,"AAAAAG/fmzU=")</f>
        <v>#VALUE!</v>
      </c>
      <c r="BC27" t="e">
        <f>AND('Species Data'!K172,"AAAAAG/fmzY=")</f>
        <v>#VALUE!</v>
      </c>
      <c r="BD27" t="e">
        <f>AND('Species Data'!L172,"AAAAAG/fmzc=")</f>
        <v>#VALUE!</v>
      </c>
      <c r="BE27" t="e">
        <f>AND('Species Data'!M172,"AAAAAG/fmzg=")</f>
        <v>#VALUE!</v>
      </c>
      <c r="BF27" t="e">
        <f>AND('Species Data'!N172,"AAAAAG/fmzk=")</f>
        <v>#VALUE!</v>
      </c>
      <c r="BG27" t="e">
        <f>AND('Species Data'!O172,"AAAAAG/fmzo=")</f>
        <v>#VALUE!</v>
      </c>
      <c r="BH27">
        <f>IF('Species Data'!173:173,"AAAAAG/fmzs=",0)</f>
        <v>0</v>
      </c>
      <c r="BI27" t="e">
        <f>AND('Species Data'!A173,"AAAAAG/fmzw=")</f>
        <v>#VALUE!</v>
      </c>
      <c r="BJ27" t="e">
        <f>AND('Species Data'!B173,"AAAAAG/fmz0=")</f>
        <v>#VALUE!</v>
      </c>
      <c r="BK27" t="e">
        <f>AND('Species Data'!C173,"AAAAAG/fmz4=")</f>
        <v>#VALUE!</v>
      </c>
      <c r="BL27" t="e">
        <f>AND('Species Data'!D173,"AAAAAG/fmz8=")</f>
        <v>#VALUE!</v>
      </c>
      <c r="BM27" t="e">
        <f>AND('Species Data'!E173,"AAAAAG/fm0A=")</f>
        <v>#VALUE!</v>
      </c>
      <c r="BN27" t="e">
        <f>AND('Species Data'!F173,"AAAAAG/fm0E=")</f>
        <v>#VALUE!</v>
      </c>
      <c r="BO27" t="e">
        <f>AND('Species Data'!G173,"AAAAAG/fm0I=")</f>
        <v>#VALUE!</v>
      </c>
      <c r="BP27" t="e">
        <f>AND('Species Data'!H173,"AAAAAG/fm0M=")</f>
        <v>#VALUE!</v>
      </c>
      <c r="BQ27" t="e">
        <f>AND('Species Data'!I173,"AAAAAG/fm0Q=")</f>
        <v>#VALUE!</v>
      </c>
      <c r="BR27" t="e">
        <f>AND('Species Data'!J173,"AAAAAG/fm0U=")</f>
        <v>#VALUE!</v>
      </c>
      <c r="BS27" t="e">
        <f>AND('Species Data'!K173,"AAAAAG/fm0Y=")</f>
        <v>#VALUE!</v>
      </c>
      <c r="BT27" t="e">
        <f>AND('Species Data'!L173,"AAAAAG/fm0c=")</f>
        <v>#VALUE!</v>
      </c>
      <c r="BU27" t="e">
        <f>AND('Species Data'!M173,"AAAAAG/fm0g=")</f>
        <v>#VALUE!</v>
      </c>
      <c r="BV27" t="e">
        <f>AND('Species Data'!N173,"AAAAAG/fm0k=")</f>
        <v>#VALUE!</v>
      </c>
      <c r="BW27" t="e">
        <f>AND('Species Data'!O173,"AAAAAG/fm0o=")</f>
        <v>#VALUE!</v>
      </c>
      <c r="BX27">
        <f>IF('Species Data'!174:174,"AAAAAG/fm0s=",0)</f>
        <v>0</v>
      </c>
      <c r="BY27" t="e">
        <f>AND('Species Data'!A174,"AAAAAG/fm0w=")</f>
        <v>#VALUE!</v>
      </c>
      <c r="BZ27" t="e">
        <f>AND('Species Data'!B174,"AAAAAG/fm00=")</f>
        <v>#VALUE!</v>
      </c>
      <c r="CA27" t="e">
        <f>AND('Species Data'!C174,"AAAAAG/fm04=")</f>
        <v>#VALUE!</v>
      </c>
      <c r="CB27" t="e">
        <f>AND('Species Data'!D174,"AAAAAG/fm08=")</f>
        <v>#VALUE!</v>
      </c>
      <c r="CC27" t="e">
        <f>AND('Species Data'!E174,"AAAAAG/fm1A=")</f>
        <v>#VALUE!</v>
      </c>
      <c r="CD27" t="e">
        <f>AND('Species Data'!F174,"AAAAAG/fm1E=")</f>
        <v>#VALUE!</v>
      </c>
      <c r="CE27" t="e">
        <f>AND('Species Data'!G174,"AAAAAG/fm1I=")</f>
        <v>#VALUE!</v>
      </c>
      <c r="CF27" t="e">
        <f>AND('Species Data'!H174,"AAAAAG/fm1M=")</f>
        <v>#VALUE!</v>
      </c>
      <c r="CG27" t="e">
        <f>AND('Species Data'!I174,"AAAAAG/fm1Q=")</f>
        <v>#VALUE!</v>
      </c>
      <c r="CH27" t="e">
        <f>AND('Species Data'!J174,"AAAAAG/fm1U=")</f>
        <v>#VALUE!</v>
      </c>
      <c r="CI27" t="e">
        <f>AND('Species Data'!K174,"AAAAAG/fm1Y=")</f>
        <v>#VALUE!</v>
      </c>
      <c r="CJ27" t="e">
        <f>AND('Species Data'!L174,"AAAAAG/fm1c=")</f>
        <v>#VALUE!</v>
      </c>
      <c r="CK27" t="e">
        <f>AND('Species Data'!M174,"AAAAAG/fm1g=")</f>
        <v>#VALUE!</v>
      </c>
      <c r="CL27" t="e">
        <f>AND('Species Data'!N174,"AAAAAG/fm1k=")</f>
        <v>#VALUE!</v>
      </c>
      <c r="CM27" t="e">
        <f>AND('Species Data'!O174,"AAAAAG/fm1o=")</f>
        <v>#VALUE!</v>
      </c>
      <c r="CN27">
        <f>IF('Species Data'!175:175,"AAAAAG/fm1s=",0)</f>
        <v>0</v>
      </c>
      <c r="CO27" t="e">
        <f>AND('Species Data'!A175,"AAAAAG/fm1w=")</f>
        <v>#VALUE!</v>
      </c>
      <c r="CP27" t="e">
        <f>AND('Species Data'!B175,"AAAAAG/fm10=")</f>
        <v>#VALUE!</v>
      </c>
      <c r="CQ27" t="e">
        <f>AND('Species Data'!C175,"AAAAAG/fm14=")</f>
        <v>#VALUE!</v>
      </c>
      <c r="CR27" t="e">
        <f>AND('Species Data'!D175,"AAAAAG/fm18=")</f>
        <v>#VALUE!</v>
      </c>
      <c r="CS27" t="e">
        <f>AND('Species Data'!E175,"AAAAAG/fm2A=")</f>
        <v>#VALUE!</v>
      </c>
      <c r="CT27" t="e">
        <f>AND('Species Data'!F175,"AAAAAG/fm2E=")</f>
        <v>#VALUE!</v>
      </c>
      <c r="CU27" t="e">
        <f>AND('Species Data'!G175,"AAAAAG/fm2I=")</f>
        <v>#VALUE!</v>
      </c>
      <c r="CV27" t="e">
        <f>AND('Species Data'!H175,"AAAAAG/fm2M=")</f>
        <v>#VALUE!</v>
      </c>
      <c r="CW27" t="e">
        <f>AND('Species Data'!I175,"AAAAAG/fm2Q=")</f>
        <v>#VALUE!</v>
      </c>
      <c r="CX27" t="e">
        <f>AND('Species Data'!J175,"AAAAAG/fm2U=")</f>
        <v>#VALUE!</v>
      </c>
      <c r="CY27" t="e">
        <f>AND('Species Data'!K175,"AAAAAG/fm2Y=")</f>
        <v>#VALUE!</v>
      </c>
      <c r="CZ27" t="e">
        <f>AND('Species Data'!L175,"AAAAAG/fm2c=")</f>
        <v>#VALUE!</v>
      </c>
      <c r="DA27" t="e">
        <f>AND('Species Data'!M175,"AAAAAG/fm2g=")</f>
        <v>#VALUE!</v>
      </c>
      <c r="DB27" t="e">
        <f>AND('Species Data'!N175,"AAAAAG/fm2k=")</f>
        <v>#VALUE!</v>
      </c>
      <c r="DC27" t="e">
        <f>AND('Species Data'!O175,"AAAAAG/fm2o=")</f>
        <v>#VALUE!</v>
      </c>
      <c r="DD27">
        <f>IF('Species Data'!176:176,"AAAAAG/fm2s=",0)</f>
        <v>0</v>
      </c>
      <c r="DE27" t="e">
        <f>AND('Species Data'!A176,"AAAAAG/fm2w=")</f>
        <v>#VALUE!</v>
      </c>
      <c r="DF27" t="e">
        <f>AND('Species Data'!B176,"AAAAAG/fm20=")</f>
        <v>#VALUE!</v>
      </c>
      <c r="DG27" t="e">
        <f>AND('Species Data'!C176,"AAAAAG/fm24=")</f>
        <v>#VALUE!</v>
      </c>
      <c r="DH27" t="e">
        <f>AND('Species Data'!D176,"AAAAAG/fm28=")</f>
        <v>#VALUE!</v>
      </c>
      <c r="DI27" t="e">
        <f>AND('Species Data'!E176,"AAAAAG/fm3A=")</f>
        <v>#VALUE!</v>
      </c>
      <c r="DJ27" t="e">
        <f>AND('Species Data'!F176,"AAAAAG/fm3E=")</f>
        <v>#VALUE!</v>
      </c>
      <c r="DK27" t="e">
        <f>AND('Species Data'!G176,"AAAAAG/fm3I=")</f>
        <v>#VALUE!</v>
      </c>
      <c r="DL27" t="e">
        <f>AND('Species Data'!H176,"AAAAAG/fm3M=")</f>
        <v>#VALUE!</v>
      </c>
      <c r="DM27" t="e">
        <f>AND('Species Data'!I176,"AAAAAG/fm3Q=")</f>
        <v>#VALUE!</v>
      </c>
      <c r="DN27" t="e">
        <f>AND('Species Data'!J176,"AAAAAG/fm3U=")</f>
        <v>#VALUE!</v>
      </c>
      <c r="DO27" t="e">
        <f>AND('Species Data'!K176,"AAAAAG/fm3Y=")</f>
        <v>#VALUE!</v>
      </c>
      <c r="DP27" t="e">
        <f>AND('Species Data'!L176,"AAAAAG/fm3c=")</f>
        <v>#VALUE!</v>
      </c>
      <c r="DQ27" t="e">
        <f>AND('Species Data'!M176,"AAAAAG/fm3g=")</f>
        <v>#VALUE!</v>
      </c>
      <c r="DR27" t="e">
        <f>AND('Species Data'!N176,"AAAAAG/fm3k=")</f>
        <v>#VALUE!</v>
      </c>
      <c r="DS27" t="e">
        <f>AND('Species Data'!O176,"AAAAAG/fm3o=")</f>
        <v>#VALUE!</v>
      </c>
      <c r="DT27">
        <f>IF('Species Data'!177:177,"AAAAAG/fm3s=",0)</f>
        <v>0</v>
      </c>
      <c r="DU27">
        <f>IF('Species Data'!178:178,"AAAAAG/fm3w=",0)</f>
        <v>0</v>
      </c>
      <c r="DV27">
        <f>IF('Species Data'!179:179,"AAAAAG/fm30=",0)</f>
        <v>0</v>
      </c>
      <c r="DW27">
        <f>IF('Species Data'!180:180,"AAAAAG/fm34=",0)</f>
        <v>0</v>
      </c>
      <c r="DX27">
        <f>IF('Species Data'!181:181,"AAAAAG/fm38=",0)</f>
        <v>0</v>
      </c>
      <c r="DY27">
        <f>IF('Species Data'!182:182,"AAAAAG/fm4A=",0)</f>
        <v>0</v>
      </c>
      <c r="DZ27">
        <f>IF('Species Data'!183:183,"AAAAAG/fm4E=",0)</f>
        <v>0</v>
      </c>
      <c r="EA27">
        <f>IF('Species Data'!184:184,"AAAAAG/fm4I=",0)</f>
        <v>0</v>
      </c>
      <c r="EB27">
        <f>IF('Species Data'!185:185,"AAAAAG/fm4M=",0)</f>
        <v>0</v>
      </c>
      <c r="EC27">
        <f>IF('Species Data'!186:186,"AAAAAG/fm4Q=",0)</f>
        <v>0</v>
      </c>
      <c r="ED27">
        <f>IF('Species Data'!187:187,"AAAAAG/fm4U=",0)</f>
        <v>0</v>
      </c>
      <c r="EE27">
        <f>IF('Species Data'!188:188,"AAAAAG/fm4Y=",0)</f>
        <v>0</v>
      </c>
      <c r="EF27">
        <f>IF('Species Data'!189:189,"AAAAAG/fm4c=",0)</f>
        <v>0</v>
      </c>
      <c r="EG27">
        <f>IF('Species Data'!190:190,"AAAAAG/fm4g=",0)</f>
        <v>0</v>
      </c>
      <c r="EH27">
        <f>IF('Species Data'!191:191,"AAAAAG/fm4k=",0)</f>
        <v>0</v>
      </c>
      <c r="EI27">
        <f>IF('Species Data'!192:192,"AAAAAG/fm4o=",0)</f>
        <v>0</v>
      </c>
      <c r="EJ27" t="e">
        <f>IF('Species Data'!A:A,"AAAAAG/fm4s=",0)</f>
        <v>#VALUE!</v>
      </c>
      <c r="EK27">
        <f>IF('Species Data'!B:B,"AAAAAG/fm4w=",0)</f>
        <v>0</v>
      </c>
      <c r="EL27">
        <f>IF('Species Data'!C:C,"AAAAAG/fm40=",0)</f>
        <v>0</v>
      </c>
      <c r="EM27">
        <f>IF('Species Data'!D:D,"AAAAAG/fm44=",0)</f>
        <v>0</v>
      </c>
      <c r="EN27">
        <f>IF('Species Data'!E:E,"AAAAAG/fm48=",0)</f>
        <v>0</v>
      </c>
      <c r="EO27" t="str">
        <f>IF('Species Data'!F:F,"AAAAAG/fm5A=",0)</f>
        <v>AAAAAG/fm5A=</v>
      </c>
      <c r="EP27" t="str">
        <f>IF('Species Data'!G:G,"AAAAAG/fm5E=",0)</f>
        <v>AAAAAG/fm5E=</v>
      </c>
      <c r="EQ27" t="str">
        <f>IF('Species Data'!H:H,"AAAAAG/fm5I=",0)</f>
        <v>AAAAAG/fm5I=</v>
      </c>
      <c r="ER27">
        <f>IF('Species Data'!I:I,"AAAAAG/fm5M=",0)</f>
        <v>0</v>
      </c>
      <c r="ES27">
        <f>IF('Species Data'!J:J,"AAAAAG/fm5Q=",0)</f>
        <v>0</v>
      </c>
      <c r="ET27">
        <f>IF('Species Data'!K:K,"AAAAAG/fm5U=",0)</f>
        <v>0</v>
      </c>
      <c r="EU27">
        <f>IF('Species Data'!L:L,"AAAAAG/fm5Y=",0)</f>
        <v>0</v>
      </c>
      <c r="EV27">
        <f>IF('Species Data'!M:M,"AAAAAG/fm5c=",0)</f>
        <v>0</v>
      </c>
      <c r="EW27">
        <f>IF('Species Data'!N:N,"AAAAAG/fm5g=",0)</f>
        <v>0</v>
      </c>
      <c r="EX27">
        <f>IF('Species Data'!O:O,"AAAAAG/fm5k=",0)</f>
        <v>0</v>
      </c>
      <c r="EY27" t="e">
        <f>IF(DATASORT!#REF!,"AAAAAG/fm5o=",0)</f>
        <v>#REF!</v>
      </c>
      <c r="EZ27" t="e">
        <f>AND(DATASORT!#REF!,"AAAAAG/fm5s=")</f>
        <v>#REF!</v>
      </c>
      <c r="FA27" t="e">
        <f>AND(DATASORT!#REF!,"AAAAAG/fm5w=")</f>
        <v>#REF!</v>
      </c>
      <c r="FB27" t="e">
        <f>AND(DATASORT!#REF!,"AAAAAG/fm50=")</f>
        <v>#REF!</v>
      </c>
      <c r="FC27" t="e">
        <f>AND(DATASORT!#REF!,"AAAAAG/fm54=")</f>
        <v>#REF!</v>
      </c>
      <c r="FD27" t="e">
        <f>AND(DATASORT!#REF!,"AAAAAG/fm58=")</f>
        <v>#REF!</v>
      </c>
      <c r="FE27" t="e">
        <f>AND(DATASORT!#REF!,"AAAAAG/fm6A=")</f>
        <v>#REF!</v>
      </c>
      <c r="FF27" t="e">
        <f>AND(DATASORT!#REF!,"AAAAAG/fm6E=")</f>
        <v>#REF!</v>
      </c>
      <c r="FG27" t="e">
        <f>AND(DATASORT!#REF!,"AAAAAG/fm6I=")</f>
        <v>#REF!</v>
      </c>
      <c r="FH27" t="e">
        <f>AND(DATASORT!#REF!,"AAAAAG/fm6M=")</f>
        <v>#REF!</v>
      </c>
      <c r="FI27" t="e">
        <f>AND(DATASORT!#REF!,"AAAAAG/fm6Q=")</f>
        <v>#REF!</v>
      </c>
      <c r="FJ27" t="e">
        <f>AND(DATASORT!#REF!,"AAAAAG/fm6U=")</f>
        <v>#REF!</v>
      </c>
      <c r="FK27" t="e">
        <f>AND(DATASORT!#REF!,"AAAAAG/fm6Y=")</f>
        <v>#REF!</v>
      </c>
      <c r="FL27" t="e">
        <f>AND(DATASORT!#REF!,"AAAAAG/fm6c=")</f>
        <v>#REF!</v>
      </c>
      <c r="FM27" t="e">
        <f>AND(DATASORT!#REF!,"AAAAAG/fm6g=")</f>
        <v>#REF!</v>
      </c>
      <c r="FN27" t="e">
        <f>AND(DATASORT!#REF!,"AAAAAG/fm6k=")</f>
        <v>#REF!</v>
      </c>
      <c r="FO27" t="e">
        <f>AND(DATASORT!#REF!,"AAAAAG/fm6o=")</f>
        <v>#REF!</v>
      </c>
      <c r="FP27" t="e">
        <f>AND(DATASORT!#REF!,"AAAAAG/fm6s=")</f>
        <v>#REF!</v>
      </c>
      <c r="FQ27" t="e">
        <f>AND(DATASORT!#REF!,"AAAAAG/fm6w=")</f>
        <v>#REF!</v>
      </c>
      <c r="FR27" t="e">
        <f>AND(DATASORT!#REF!,"AAAAAG/fm60=")</f>
        <v>#REF!</v>
      </c>
      <c r="FS27" t="e">
        <f>AND(DATASORT!#REF!,"AAAAAG/fm64=")</f>
        <v>#REF!</v>
      </c>
      <c r="FT27" t="e">
        <f>AND(DATASORT!#REF!,"AAAAAG/fm68=")</f>
        <v>#REF!</v>
      </c>
      <c r="FU27" t="e">
        <f>AND(DATASORT!#REF!,"AAAAAG/fm7A=")</f>
        <v>#REF!</v>
      </c>
      <c r="FV27" t="e">
        <f>AND(DATASORT!#REF!,"AAAAAG/fm7E=")</f>
        <v>#REF!</v>
      </c>
      <c r="FW27" t="e">
        <f>AND(DATASORT!#REF!,"AAAAAG/fm7I=")</f>
        <v>#REF!</v>
      </c>
      <c r="FX27" t="e">
        <f>AND(DATASORT!#REF!,"AAAAAG/fm7M=")</f>
        <v>#REF!</v>
      </c>
      <c r="FY27" t="e">
        <f>AND(DATASORT!#REF!,"AAAAAG/fm7Q=")</f>
        <v>#REF!</v>
      </c>
      <c r="FZ27" t="e">
        <f>AND(DATASORT!#REF!,"AAAAAG/fm7U=")</f>
        <v>#REF!</v>
      </c>
      <c r="GA27" t="e">
        <f>IF(DATASORT!#REF!,"AAAAAG/fm7Y=",0)</f>
        <v>#REF!</v>
      </c>
      <c r="GB27" t="e">
        <f>AND(DATASORT!#REF!,"AAAAAG/fm7c=")</f>
        <v>#REF!</v>
      </c>
      <c r="GC27" t="e">
        <f>AND(DATASORT!#REF!,"AAAAAG/fm7g=")</f>
        <v>#REF!</v>
      </c>
      <c r="GD27" t="e">
        <f>AND(DATASORT!#REF!,"AAAAAG/fm7k=")</f>
        <v>#REF!</v>
      </c>
      <c r="GE27" t="e">
        <f>AND(DATASORT!#REF!,"AAAAAG/fm7o=")</f>
        <v>#REF!</v>
      </c>
      <c r="GF27" t="e">
        <f>AND(DATASORT!#REF!,"AAAAAG/fm7s=")</f>
        <v>#REF!</v>
      </c>
      <c r="GG27" t="e">
        <f>AND(DATASORT!#REF!,"AAAAAG/fm7w=")</f>
        <v>#REF!</v>
      </c>
      <c r="GH27" t="e">
        <f>AND(DATASORT!#REF!,"AAAAAG/fm70=")</f>
        <v>#REF!</v>
      </c>
      <c r="GI27" t="e">
        <f>AND(DATASORT!#REF!,"AAAAAG/fm74=")</f>
        <v>#REF!</v>
      </c>
      <c r="GJ27" t="e">
        <f>AND(DATASORT!#REF!,"AAAAAG/fm78=")</f>
        <v>#REF!</v>
      </c>
      <c r="GK27" t="e">
        <f>AND(DATASORT!#REF!,"AAAAAG/fm8A=")</f>
        <v>#REF!</v>
      </c>
      <c r="GL27" t="e">
        <f>AND(DATASORT!#REF!,"AAAAAG/fm8E=")</f>
        <v>#REF!</v>
      </c>
      <c r="GM27" t="e">
        <f>AND(DATASORT!#REF!,"AAAAAG/fm8I=")</f>
        <v>#REF!</v>
      </c>
      <c r="GN27" t="e">
        <f>AND(DATASORT!#REF!,"AAAAAG/fm8M=")</f>
        <v>#REF!</v>
      </c>
      <c r="GO27" t="e">
        <f>AND(DATASORT!#REF!,"AAAAAG/fm8Q=")</f>
        <v>#REF!</v>
      </c>
      <c r="GP27" t="e">
        <f>AND(DATASORT!#REF!,"AAAAAG/fm8U=")</f>
        <v>#REF!</v>
      </c>
      <c r="GQ27" t="e">
        <f>AND(DATASORT!#REF!,"AAAAAG/fm8Y=")</f>
        <v>#REF!</v>
      </c>
      <c r="GR27" t="e">
        <f>AND(DATASORT!#REF!,"AAAAAG/fm8c=")</f>
        <v>#REF!</v>
      </c>
      <c r="GS27" t="e">
        <f>AND(DATASORT!#REF!,"AAAAAG/fm8g=")</f>
        <v>#REF!</v>
      </c>
      <c r="GT27" t="e">
        <f>AND(DATASORT!#REF!,"AAAAAG/fm8k=")</f>
        <v>#REF!</v>
      </c>
      <c r="GU27" t="e">
        <f>AND(DATASORT!#REF!,"AAAAAG/fm8o=")</f>
        <v>#REF!</v>
      </c>
      <c r="GV27" t="e">
        <f>AND(DATASORT!#REF!,"AAAAAG/fm8s=")</f>
        <v>#REF!</v>
      </c>
      <c r="GW27" t="e">
        <f>AND(DATASORT!#REF!,"AAAAAG/fm8w=")</f>
        <v>#REF!</v>
      </c>
      <c r="GX27" t="e">
        <f>AND(DATASORT!#REF!,"AAAAAG/fm80=")</f>
        <v>#REF!</v>
      </c>
      <c r="GY27" t="e">
        <f>AND(DATASORT!#REF!,"AAAAAG/fm84=")</f>
        <v>#REF!</v>
      </c>
      <c r="GZ27" t="e">
        <f>AND(DATASORT!#REF!,"AAAAAG/fm88=")</f>
        <v>#REF!</v>
      </c>
      <c r="HA27" t="e">
        <f>AND(DATASORT!#REF!,"AAAAAG/fm9A=")</f>
        <v>#REF!</v>
      </c>
      <c r="HB27" t="e">
        <f>AND(DATASORT!#REF!,"AAAAAG/fm9E=")</f>
        <v>#REF!</v>
      </c>
      <c r="HC27" t="e">
        <f>IF(DATASORT!#REF!,"AAAAAG/fm9I=",0)</f>
        <v>#REF!</v>
      </c>
      <c r="HD27" t="e">
        <f>AND(DATASORT!#REF!,"AAAAAG/fm9M=")</f>
        <v>#REF!</v>
      </c>
      <c r="HE27" t="e">
        <f>AND(DATASORT!#REF!,"AAAAAG/fm9Q=")</f>
        <v>#REF!</v>
      </c>
      <c r="HF27" t="e">
        <f>AND(DATASORT!#REF!,"AAAAAG/fm9U=")</f>
        <v>#REF!</v>
      </c>
      <c r="HG27" t="e">
        <f>AND(DATASORT!#REF!,"AAAAAG/fm9Y=")</f>
        <v>#REF!</v>
      </c>
      <c r="HH27" t="e">
        <f>AND(DATASORT!#REF!,"AAAAAG/fm9c=")</f>
        <v>#REF!</v>
      </c>
      <c r="HI27" t="e">
        <f>AND(DATASORT!#REF!,"AAAAAG/fm9g=")</f>
        <v>#REF!</v>
      </c>
      <c r="HJ27" t="e">
        <f>AND(DATASORT!#REF!,"AAAAAG/fm9k=")</f>
        <v>#REF!</v>
      </c>
      <c r="HK27" t="e">
        <f>AND(DATASORT!#REF!,"AAAAAG/fm9o=")</f>
        <v>#REF!</v>
      </c>
      <c r="HL27" t="e">
        <f>AND(DATASORT!#REF!,"AAAAAG/fm9s=")</f>
        <v>#REF!</v>
      </c>
      <c r="HM27" t="e">
        <f>AND(DATASORT!#REF!,"AAAAAG/fm9w=")</f>
        <v>#REF!</v>
      </c>
      <c r="HN27" t="e">
        <f>AND(DATASORT!#REF!,"AAAAAG/fm90=")</f>
        <v>#REF!</v>
      </c>
      <c r="HO27" t="e">
        <f>AND(DATASORT!#REF!,"AAAAAG/fm94=")</f>
        <v>#REF!</v>
      </c>
      <c r="HP27" t="e">
        <f>AND(DATASORT!#REF!,"AAAAAG/fm98=")</f>
        <v>#REF!</v>
      </c>
      <c r="HQ27" t="e">
        <f>AND(DATASORT!#REF!,"AAAAAG/fm+A=")</f>
        <v>#REF!</v>
      </c>
      <c r="HR27" t="e">
        <f>AND(DATASORT!#REF!,"AAAAAG/fm+E=")</f>
        <v>#REF!</v>
      </c>
      <c r="HS27" t="e">
        <f>AND(DATASORT!#REF!,"AAAAAG/fm+I=")</f>
        <v>#REF!</v>
      </c>
      <c r="HT27" t="e">
        <f>AND(DATASORT!#REF!,"AAAAAG/fm+M=")</f>
        <v>#REF!</v>
      </c>
      <c r="HU27" t="e">
        <f>AND(DATASORT!#REF!,"AAAAAG/fm+Q=")</f>
        <v>#REF!</v>
      </c>
      <c r="HV27" t="e">
        <f>AND(DATASORT!#REF!,"AAAAAG/fm+U=")</f>
        <v>#REF!</v>
      </c>
      <c r="HW27" t="e">
        <f>AND(DATASORT!#REF!,"AAAAAG/fm+Y=")</f>
        <v>#REF!</v>
      </c>
      <c r="HX27" t="e">
        <f>AND(DATASORT!#REF!,"AAAAAG/fm+c=")</f>
        <v>#REF!</v>
      </c>
      <c r="HY27" t="e">
        <f>AND(DATASORT!#REF!,"AAAAAG/fm+g=")</f>
        <v>#REF!</v>
      </c>
      <c r="HZ27" t="e">
        <f>AND(DATASORT!#REF!,"AAAAAG/fm+k=")</f>
        <v>#REF!</v>
      </c>
      <c r="IA27" t="e">
        <f>AND(DATASORT!#REF!,"AAAAAG/fm+o=")</f>
        <v>#REF!</v>
      </c>
      <c r="IB27" t="e">
        <f>AND(DATASORT!#REF!,"AAAAAG/fm+s=")</f>
        <v>#REF!</v>
      </c>
      <c r="IC27" t="e">
        <f>AND(DATASORT!#REF!,"AAAAAG/fm+w=")</f>
        <v>#REF!</v>
      </c>
      <c r="ID27" t="e">
        <f>AND(DATASORT!#REF!,"AAAAAG/fm+0=")</f>
        <v>#REF!</v>
      </c>
      <c r="IE27" t="e">
        <f>IF(DATASORT!#REF!,"AAAAAG/fm+4=",0)</f>
        <v>#REF!</v>
      </c>
      <c r="IF27" t="e">
        <f>AND(DATASORT!#REF!,"AAAAAG/fm+8=")</f>
        <v>#REF!</v>
      </c>
      <c r="IG27" t="e">
        <f>AND(DATASORT!#REF!,"AAAAAG/fm/A=")</f>
        <v>#REF!</v>
      </c>
      <c r="IH27" t="e">
        <f>AND(DATASORT!#REF!,"AAAAAG/fm/E=")</f>
        <v>#REF!</v>
      </c>
      <c r="II27" t="e">
        <f>AND(DATASORT!#REF!,"AAAAAG/fm/I=")</f>
        <v>#REF!</v>
      </c>
      <c r="IJ27" t="e">
        <f>AND(DATASORT!#REF!,"AAAAAG/fm/M=")</f>
        <v>#REF!</v>
      </c>
      <c r="IK27" t="e">
        <f>AND(DATASORT!#REF!,"AAAAAG/fm/Q=")</f>
        <v>#REF!</v>
      </c>
      <c r="IL27" t="e">
        <f>AND(DATASORT!#REF!,"AAAAAG/fm/U=")</f>
        <v>#REF!</v>
      </c>
      <c r="IM27" t="e">
        <f>AND(DATASORT!#REF!,"AAAAAG/fm/Y=")</f>
        <v>#REF!</v>
      </c>
      <c r="IN27" t="e">
        <f>AND(DATASORT!#REF!,"AAAAAG/fm/c=")</f>
        <v>#REF!</v>
      </c>
      <c r="IO27" t="e">
        <f>AND(DATASORT!#REF!,"AAAAAG/fm/g=")</f>
        <v>#REF!</v>
      </c>
      <c r="IP27" t="e">
        <f>AND(DATASORT!#REF!,"AAAAAG/fm/k=")</f>
        <v>#REF!</v>
      </c>
      <c r="IQ27" t="e">
        <f>AND(DATASORT!#REF!,"AAAAAG/fm/o=")</f>
        <v>#REF!</v>
      </c>
      <c r="IR27" t="e">
        <f>AND(DATASORT!#REF!,"AAAAAG/fm/s=")</f>
        <v>#REF!</v>
      </c>
      <c r="IS27" t="e">
        <f>AND(DATASORT!#REF!,"AAAAAG/fm/w=")</f>
        <v>#REF!</v>
      </c>
      <c r="IT27" t="e">
        <f>AND(DATASORT!#REF!,"AAAAAG/fm/0=")</f>
        <v>#REF!</v>
      </c>
      <c r="IU27" t="e">
        <f>AND(DATASORT!#REF!,"AAAAAG/fm/4=")</f>
        <v>#REF!</v>
      </c>
      <c r="IV27" t="e">
        <f>AND(DATASORT!#REF!,"AAAAAG/fm/8=")</f>
        <v>#REF!</v>
      </c>
    </row>
    <row r="28" spans="1:256">
      <c r="A28" t="e">
        <f>AND(DATASORT!#REF!,"AAAAAF7/HQA=")</f>
        <v>#REF!</v>
      </c>
      <c r="B28" t="e">
        <f>AND(DATASORT!#REF!,"AAAAAF7/HQE=")</f>
        <v>#REF!</v>
      </c>
      <c r="C28" t="e">
        <f>AND(DATASORT!#REF!,"AAAAAF7/HQI=")</f>
        <v>#REF!</v>
      </c>
      <c r="D28" t="e">
        <f>AND(DATASORT!#REF!,"AAAAAF7/HQM=")</f>
        <v>#REF!</v>
      </c>
      <c r="E28" t="e">
        <f>AND(DATASORT!#REF!,"AAAAAF7/HQQ=")</f>
        <v>#REF!</v>
      </c>
      <c r="F28" t="e">
        <f>AND(DATASORT!#REF!,"AAAAAF7/HQU=")</f>
        <v>#REF!</v>
      </c>
      <c r="G28" t="e">
        <f>AND(DATASORT!#REF!,"AAAAAF7/HQY=")</f>
        <v>#REF!</v>
      </c>
      <c r="H28" t="e">
        <f>AND(DATASORT!#REF!,"AAAAAF7/HQc=")</f>
        <v>#REF!</v>
      </c>
      <c r="I28" t="e">
        <f>AND(DATASORT!#REF!,"AAAAAF7/HQg=")</f>
        <v>#REF!</v>
      </c>
      <c r="J28" t="e">
        <f>AND(DATASORT!#REF!,"AAAAAF7/HQk=")</f>
        <v>#REF!</v>
      </c>
      <c r="K28" t="e">
        <f>IF(DATASORT!#REF!,"AAAAAF7/HQo=",0)</f>
        <v>#REF!</v>
      </c>
      <c r="L28" t="e">
        <f>AND(DATASORT!#REF!,"AAAAAF7/HQs=")</f>
        <v>#REF!</v>
      </c>
      <c r="M28" t="e">
        <f>AND(DATASORT!#REF!,"AAAAAF7/HQw=")</f>
        <v>#REF!</v>
      </c>
      <c r="N28" t="e">
        <f>AND(DATASORT!#REF!,"AAAAAF7/HQ0=")</f>
        <v>#REF!</v>
      </c>
      <c r="O28" t="e">
        <f>AND(DATASORT!#REF!,"AAAAAF7/HQ4=")</f>
        <v>#REF!</v>
      </c>
      <c r="P28" t="e">
        <f>AND(DATASORT!#REF!,"AAAAAF7/HQ8=")</f>
        <v>#REF!</v>
      </c>
      <c r="Q28" t="e">
        <f>AND(DATASORT!#REF!,"AAAAAF7/HRA=")</f>
        <v>#REF!</v>
      </c>
      <c r="R28" t="e">
        <f>AND(DATASORT!#REF!,"AAAAAF7/HRE=")</f>
        <v>#REF!</v>
      </c>
      <c r="S28" t="e">
        <f>AND(DATASORT!#REF!,"AAAAAF7/HRI=")</f>
        <v>#REF!</v>
      </c>
      <c r="T28" t="e">
        <f>AND(DATASORT!#REF!,"AAAAAF7/HRM=")</f>
        <v>#REF!</v>
      </c>
      <c r="U28" t="e">
        <f>AND(DATASORT!#REF!,"AAAAAF7/HRQ=")</f>
        <v>#REF!</v>
      </c>
      <c r="V28" t="e">
        <f>AND(DATASORT!#REF!,"AAAAAF7/HRU=")</f>
        <v>#REF!</v>
      </c>
      <c r="W28" t="e">
        <f>AND(DATASORT!#REF!,"AAAAAF7/HRY=")</f>
        <v>#REF!</v>
      </c>
      <c r="X28" t="e">
        <f>AND(DATASORT!#REF!,"AAAAAF7/HRc=")</f>
        <v>#REF!</v>
      </c>
      <c r="Y28" t="e">
        <f>AND(DATASORT!#REF!,"AAAAAF7/HRg=")</f>
        <v>#REF!</v>
      </c>
      <c r="Z28" t="e">
        <f>AND(DATASORT!#REF!,"AAAAAF7/HRk=")</f>
        <v>#REF!</v>
      </c>
      <c r="AA28" t="e">
        <f>AND(DATASORT!#REF!,"AAAAAF7/HRo=")</f>
        <v>#REF!</v>
      </c>
      <c r="AB28" t="e">
        <f>AND(DATASORT!#REF!,"AAAAAF7/HRs=")</f>
        <v>#REF!</v>
      </c>
      <c r="AC28" t="e">
        <f>AND(DATASORT!#REF!,"AAAAAF7/HRw=")</f>
        <v>#REF!</v>
      </c>
      <c r="AD28" t="e">
        <f>AND(DATASORT!#REF!,"AAAAAF7/HR0=")</f>
        <v>#REF!</v>
      </c>
      <c r="AE28" t="e">
        <f>AND(DATASORT!#REF!,"AAAAAF7/HR4=")</f>
        <v>#REF!</v>
      </c>
      <c r="AF28" t="e">
        <f>AND(DATASORT!#REF!,"AAAAAF7/HR8=")</f>
        <v>#REF!</v>
      </c>
      <c r="AG28" t="e">
        <f>AND(DATASORT!#REF!,"AAAAAF7/HSA=")</f>
        <v>#REF!</v>
      </c>
      <c r="AH28" t="e">
        <f>AND(DATASORT!#REF!,"AAAAAF7/HSE=")</f>
        <v>#REF!</v>
      </c>
      <c r="AI28" t="e">
        <f>AND(DATASORT!#REF!,"AAAAAF7/HSI=")</f>
        <v>#REF!</v>
      </c>
      <c r="AJ28" t="e">
        <f>AND(DATASORT!#REF!,"AAAAAF7/HSM=")</f>
        <v>#REF!</v>
      </c>
      <c r="AK28" t="e">
        <f>AND(DATASORT!#REF!,"AAAAAF7/HSQ=")</f>
        <v>#REF!</v>
      </c>
      <c r="AL28" t="e">
        <f>AND(DATASORT!#REF!,"AAAAAF7/HSU=")</f>
        <v>#REF!</v>
      </c>
      <c r="AM28" t="e">
        <f>IF(DATASORT!#REF!,"AAAAAF7/HSY=",0)</f>
        <v>#REF!</v>
      </c>
      <c r="AN28" t="e">
        <f>AND(DATASORT!#REF!,"AAAAAF7/HSc=")</f>
        <v>#REF!</v>
      </c>
      <c r="AO28" t="e">
        <f>AND(DATASORT!#REF!,"AAAAAF7/HSg=")</f>
        <v>#REF!</v>
      </c>
      <c r="AP28" t="e">
        <f>AND(DATASORT!#REF!,"AAAAAF7/HSk=")</f>
        <v>#REF!</v>
      </c>
      <c r="AQ28" t="e">
        <f>AND(DATASORT!#REF!,"AAAAAF7/HSo=")</f>
        <v>#REF!</v>
      </c>
      <c r="AR28" t="e">
        <f>AND(DATASORT!#REF!,"AAAAAF7/HSs=")</f>
        <v>#REF!</v>
      </c>
      <c r="AS28" t="e">
        <f>AND(DATASORT!#REF!,"AAAAAF7/HSw=")</f>
        <v>#REF!</v>
      </c>
      <c r="AT28" t="e">
        <f>AND(DATASORT!#REF!,"AAAAAF7/HS0=")</f>
        <v>#REF!</v>
      </c>
      <c r="AU28" t="e">
        <f>AND(DATASORT!#REF!,"AAAAAF7/HS4=")</f>
        <v>#REF!</v>
      </c>
      <c r="AV28" t="e">
        <f>AND(DATASORT!#REF!,"AAAAAF7/HS8=")</f>
        <v>#REF!</v>
      </c>
      <c r="AW28" t="e">
        <f>AND(DATASORT!#REF!,"AAAAAF7/HTA=")</f>
        <v>#REF!</v>
      </c>
      <c r="AX28" t="e">
        <f>AND(DATASORT!#REF!,"AAAAAF7/HTE=")</f>
        <v>#REF!</v>
      </c>
      <c r="AY28" t="e">
        <f>AND(DATASORT!#REF!,"AAAAAF7/HTI=")</f>
        <v>#REF!</v>
      </c>
      <c r="AZ28" t="e">
        <f>AND(DATASORT!#REF!,"AAAAAF7/HTM=")</f>
        <v>#REF!</v>
      </c>
      <c r="BA28" t="e">
        <f>AND(DATASORT!#REF!,"AAAAAF7/HTQ=")</f>
        <v>#REF!</v>
      </c>
      <c r="BB28" t="e">
        <f>AND(DATASORT!#REF!,"AAAAAF7/HTU=")</f>
        <v>#REF!</v>
      </c>
      <c r="BC28" t="e">
        <f>AND(DATASORT!#REF!,"AAAAAF7/HTY=")</f>
        <v>#REF!</v>
      </c>
      <c r="BD28" t="e">
        <f>AND(DATASORT!#REF!,"AAAAAF7/HTc=")</f>
        <v>#REF!</v>
      </c>
      <c r="BE28" t="e">
        <f>AND(DATASORT!#REF!,"AAAAAF7/HTg=")</f>
        <v>#REF!</v>
      </c>
      <c r="BF28" t="e">
        <f>AND(DATASORT!#REF!,"AAAAAF7/HTk=")</f>
        <v>#REF!</v>
      </c>
      <c r="BG28" t="e">
        <f>AND(DATASORT!#REF!,"AAAAAF7/HTo=")</f>
        <v>#REF!</v>
      </c>
      <c r="BH28" t="e">
        <f>AND(DATASORT!#REF!,"AAAAAF7/HTs=")</f>
        <v>#REF!</v>
      </c>
      <c r="BI28" t="e">
        <f>AND(DATASORT!#REF!,"AAAAAF7/HTw=")</f>
        <v>#REF!</v>
      </c>
      <c r="BJ28" t="e">
        <f>AND(DATASORT!#REF!,"AAAAAF7/HT0=")</f>
        <v>#REF!</v>
      </c>
      <c r="BK28" t="e">
        <f>AND(DATASORT!#REF!,"AAAAAF7/HT4=")</f>
        <v>#REF!</v>
      </c>
      <c r="BL28" t="e">
        <f>AND(DATASORT!#REF!,"AAAAAF7/HT8=")</f>
        <v>#REF!</v>
      </c>
      <c r="BM28" t="e">
        <f>AND(DATASORT!#REF!,"AAAAAF7/HUA=")</f>
        <v>#REF!</v>
      </c>
      <c r="BN28" t="e">
        <f>AND(DATASORT!#REF!,"AAAAAF7/HUE=")</f>
        <v>#REF!</v>
      </c>
      <c r="BO28" t="e">
        <f>IF(DATASORT!#REF!,"AAAAAF7/HUI=",0)</f>
        <v>#REF!</v>
      </c>
      <c r="BP28" t="e">
        <f>AND(DATASORT!#REF!,"AAAAAF7/HUM=")</f>
        <v>#REF!</v>
      </c>
      <c r="BQ28" t="e">
        <f>AND(DATASORT!#REF!,"AAAAAF7/HUQ=")</f>
        <v>#REF!</v>
      </c>
      <c r="BR28" t="e">
        <f>AND(DATASORT!#REF!,"AAAAAF7/HUU=")</f>
        <v>#REF!</v>
      </c>
      <c r="BS28" t="e">
        <f>AND(DATASORT!#REF!,"AAAAAF7/HUY=")</f>
        <v>#REF!</v>
      </c>
      <c r="BT28" t="e">
        <f>AND(DATASORT!#REF!,"AAAAAF7/HUc=")</f>
        <v>#REF!</v>
      </c>
      <c r="BU28" t="e">
        <f>AND(DATASORT!#REF!,"AAAAAF7/HUg=")</f>
        <v>#REF!</v>
      </c>
      <c r="BV28" t="e">
        <f>AND(DATASORT!#REF!,"AAAAAF7/HUk=")</f>
        <v>#REF!</v>
      </c>
      <c r="BW28" t="e">
        <f>AND(DATASORT!#REF!,"AAAAAF7/HUo=")</f>
        <v>#REF!</v>
      </c>
      <c r="BX28" t="e">
        <f>AND(DATASORT!#REF!,"AAAAAF7/HUs=")</f>
        <v>#REF!</v>
      </c>
      <c r="BY28" t="e">
        <f>AND(DATASORT!#REF!,"AAAAAF7/HUw=")</f>
        <v>#REF!</v>
      </c>
      <c r="BZ28" t="e">
        <f>AND(DATASORT!#REF!,"AAAAAF7/HU0=")</f>
        <v>#REF!</v>
      </c>
      <c r="CA28" t="e">
        <f>AND(DATASORT!#REF!,"AAAAAF7/HU4=")</f>
        <v>#REF!</v>
      </c>
      <c r="CB28" t="e">
        <f>AND(DATASORT!#REF!,"AAAAAF7/HU8=")</f>
        <v>#REF!</v>
      </c>
      <c r="CC28" t="e">
        <f>AND(DATASORT!#REF!,"AAAAAF7/HVA=")</f>
        <v>#REF!</v>
      </c>
      <c r="CD28" t="e">
        <f>AND(DATASORT!#REF!,"AAAAAF7/HVE=")</f>
        <v>#REF!</v>
      </c>
      <c r="CE28" t="e">
        <f>AND(DATASORT!#REF!,"AAAAAF7/HVI=")</f>
        <v>#REF!</v>
      </c>
      <c r="CF28" t="e">
        <f>AND(DATASORT!#REF!,"AAAAAF7/HVM=")</f>
        <v>#REF!</v>
      </c>
      <c r="CG28" t="e">
        <f>AND(DATASORT!#REF!,"AAAAAF7/HVQ=")</f>
        <v>#REF!</v>
      </c>
      <c r="CH28" t="e">
        <f>AND(DATASORT!#REF!,"AAAAAF7/HVU=")</f>
        <v>#REF!</v>
      </c>
      <c r="CI28" t="e">
        <f>AND(DATASORT!#REF!,"AAAAAF7/HVY=")</f>
        <v>#REF!</v>
      </c>
      <c r="CJ28" t="e">
        <f>AND(DATASORT!#REF!,"AAAAAF7/HVc=")</f>
        <v>#REF!</v>
      </c>
      <c r="CK28" t="e">
        <f>AND(DATASORT!#REF!,"AAAAAF7/HVg=")</f>
        <v>#REF!</v>
      </c>
      <c r="CL28" t="e">
        <f>AND(DATASORT!#REF!,"AAAAAF7/HVk=")</f>
        <v>#REF!</v>
      </c>
      <c r="CM28" t="e">
        <f>AND(DATASORT!#REF!,"AAAAAF7/HVo=")</f>
        <v>#REF!</v>
      </c>
      <c r="CN28" t="e">
        <f>AND(DATASORT!#REF!,"AAAAAF7/HVs=")</f>
        <v>#REF!</v>
      </c>
      <c r="CO28" t="e">
        <f>AND(DATASORT!#REF!,"AAAAAF7/HVw=")</f>
        <v>#REF!</v>
      </c>
      <c r="CP28" t="e">
        <f>AND(DATASORT!#REF!,"AAAAAF7/HV0=")</f>
        <v>#REF!</v>
      </c>
      <c r="CQ28" t="e">
        <f>IF(DATASORT!#REF!,"AAAAAF7/HV4=",0)</f>
        <v>#REF!</v>
      </c>
      <c r="CR28" t="e">
        <f>AND(DATASORT!#REF!,"AAAAAF7/HV8=")</f>
        <v>#REF!</v>
      </c>
      <c r="CS28" t="e">
        <f>AND(DATASORT!#REF!,"AAAAAF7/HWA=")</f>
        <v>#REF!</v>
      </c>
      <c r="CT28" t="e">
        <f>AND(DATASORT!#REF!,"AAAAAF7/HWE=")</f>
        <v>#REF!</v>
      </c>
      <c r="CU28" t="e">
        <f>AND(DATASORT!#REF!,"AAAAAF7/HWI=")</f>
        <v>#REF!</v>
      </c>
      <c r="CV28" t="e">
        <f>AND(DATASORT!#REF!,"AAAAAF7/HWM=")</f>
        <v>#REF!</v>
      </c>
      <c r="CW28" t="e">
        <f>AND(DATASORT!#REF!,"AAAAAF7/HWQ=")</f>
        <v>#REF!</v>
      </c>
      <c r="CX28" t="e">
        <f>AND(DATASORT!#REF!,"AAAAAF7/HWU=")</f>
        <v>#REF!</v>
      </c>
      <c r="CY28" t="e">
        <f>AND(DATASORT!#REF!,"AAAAAF7/HWY=")</f>
        <v>#REF!</v>
      </c>
      <c r="CZ28" t="e">
        <f>AND(DATASORT!#REF!,"AAAAAF7/HWc=")</f>
        <v>#REF!</v>
      </c>
      <c r="DA28" t="e">
        <f>AND(DATASORT!#REF!,"AAAAAF7/HWg=")</f>
        <v>#REF!</v>
      </c>
      <c r="DB28" t="e">
        <f>AND(DATASORT!#REF!,"AAAAAF7/HWk=")</f>
        <v>#REF!</v>
      </c>
      <c r="DC28" t="e">
        <f>AND(DATASORT!#REF!,"AAAAAF7/HWo=")</f>
        <v>#REF!</v>
      </c>
      <c r="DD28" t="e">
        <f>AND(DATASORT!#REF!,"AAAAAF7/HWs=")</f>
        <v>#REF!</v>
      </c>
      <c r="DE28" t="e">
        <f>AND(DATASORT!#REF!,"AAAAAF7/HWw=")</f>
        <v>#REF!</v>
      </c>
      <c r="DF28" t="e">
        <f>AND(DATASORT!#REF!,"AAAAAF7/HW0=")</f>
        <v>#REF!</v>
      </c>
      <c r="DG28" t="e">
        <f>AND(DATASORT!#REF!,"AAAAAF7/HW4=")</f>
        <v>#REF!</v>
      </c>
      <c r="DH28" t="e">
        <f>AND(DATASORT!#REF!,"AAAAAF7/HW8=")</f>
        <v>#REF!</v>
      </c>
      <c r="DI28" t="e">
        <f>AND(DATASORT!#REF!,"AAAAAF7/HXA=")</f>
        <v>#REF!</v>
      </c>
      <c r="DJ28" t="e">
        <f>AND(DATASORT!#REF!,"AAAAAF7/HXE=")</f>
        <v>#REF!</v>
      </c>
      <c r="DK28" t="e">
        <f>AND(DATASORT!#REF!,"AAAAAF7/HXI=")</f>
        <v>#REF!</v>
      </c>
      <c r="DL28" t="e">
        <f>AND(DATASORT!#REF!,"AAAAAF7/HXM=")</f>
        <v>#REF!</v>
      </c>
      <c r="DM28" t="e">
        <f>AND(DATASORT!#REF!,"AAAAAF7/HXQ=")</f>
        <v>#REF!</v>
      </c>
      <c r="DN28" t="e">
        <f>AND(DATASORT!#REF!,"AAAAAF7/HXU=")</f>
        <v>#REF!</v>
      </c>
      <c r="DO28" t="e">
        <f>AND(DATASORT!#REF!,"AAAAAF7/HXY=")</f>
        <v>#REF!</v>
      </c>
      <c r="DP28" t="e">
        <f>AND(DATASORT!#REF!,"AAAAAF7/HXc=")</f>
        <v>#REF!</v>
      </c>
      <c r="DQ28" t="e">
        <f>AND(DATASORT!#REF!,"AAAAAF7/HXg=")</f>
        <v>#REF!</v>
      </c>
      <c r="DR28" t="e">
        <f>AND(DATASORT!#REF!,"AAAAAF7/HXk=")</f>
        <v>#REF!</v>
      </c>
      <c r="DS28" t="e">
        <f>IF(DATASORT!#REF!,"AAAAAF7/HXo=",0)</f>
        <v>#REF!</v>
      </c>
      <c r="DT28" t="e">
        <f>AND(DATASORT!#REF!,"AAAAAF7/HXs=")</f>
        <v>#REF!</v>
      </c>
      <c r="DU28" t="e">
        <f>AND(DATASORT!#REF!,"AAAAAF7/HXw=")</f>
        <v>#REF!</v>
      </c>
      <c r="DV28" t="e">
        <f>AND(DATASORT!#REF!,"AAAAAF7/HX0=")</f>
        <v>#REF!</v>
      </c>
      <c r="DW28" t="e">
        <f>AND(DATASORT!#REF!,"AAAAAF7/HX4=")</f>
        <v>#REF!</v>
      </c>
      <c r="DX28" t="e">
        <f>AND(DATASORT!#REF!,"AAAAAF7/HX8=")</f>
        <v>#REF!</v>
      </c>
      <c r="DY28" t="e">
        <f>AND(DATASORT!#REF!,"AAAAAF7/HYA=")</f>
        <v>#REF!</v>
      </c>
      <c r="DZ28" t="e">
        <f>AND(DATASORT!#REF!,"AAAAAF7/HYE=")</f>
        <v>#REF!</v>
      </c>
      <c r="EA28" t="e">
        <f>AND(DATASORT!#REF!,"AAAAAF7/HYI=")</f>
        <v>#REF!</v>
      </c>
      <c r="EB28" t="e">
        <f>AND(DATASORT!#REF!,"AAAAAF7/HYM=")</f>
        <v>#REF!</v>
      </c>
      <c r="EC28" t="e">
        <f>AND(DATASORT!#REF!,"AAAAAF7/HYQ=")</f>
        <v>#REF!</v>
      </c>
      <c r="ED28" t="e">
        <f>AND(DATASORT!#REF!,"AAAAAF7/HYU=")</f>
        <v>#REF!</v>
      </c>
      <c r="EE28" t="e">
        <f>AND(DATASORT!#REF!,"AAAAAF7/HYY=")</f>
        <v>#REF!</v>
      </c>
      <c r="EF28" t="e">
        <f>AND(DATASORT!#REF!,"AAAAAF7/HYc=")</f>
        <v>#REF!</v>
      </c>
      <c r="EG28" t="e">
        <f>AND(DATASORT!#REF!,"AAAAAF7/HYg=")</f>
        <v>#REF!</v>
      </c>
      <c r="EH28" t="e">
        <f>AND(DATASORT!#REF!,"AAAAAF7/HYk=")</f>
        <v>#REF!</v>
      </c>
      <c r="EI28" t="e">
        <f>AND(DATASORT!#REF!,"AAAAAF7/HYo=")</f>
        <v>#REF!</v>
      </c>
      <c r="EJ28" t="e">
        <f>AND(DATASORT!#REF!,"AAAAAF7/HYs=")</f>
        <v>#REF!</v>
      </c>
      <c r="EK28" t="e">
        <f>AND(DATASORT!#REF!,"AAAAAF7/HYw=")</f>
        <v>#REF!</v>
      </c>
      <c r="EL28" t="e">
        <f>AND(DATASORT!#REF!,"AAAAAF7/HY0=")</f>
        <v>#REF!</v>
      </c>
      <c r="EM28" t="e">
        <f>AND(DATASORT!#REF!,"AAAAAF7/HY4=")</f>
        <v>#REF!</v>
      </c>
      <c r="EN28" t="e">
        <f>AND(DATASORT!#REF!,"AAAAAF7/HY8=")</f>
        <v>#REF!</v>
      </c>
      <c r="EO28" t="e">
        <f>AND(DATASORT!#REF!,"AAAAAF7/HZA=")</f>
        <v>#REF!</v>
      </c>
      <c r="EP28" t="e">
        <f>AND(DATASORT!#REF!,"AAAAAF7/HZE=")</f>
        <v>#REF!</v>
      </c>
      <c r="EQ28" t="e">
        <f>AND(DATASORT!#REF!,"AAAAAF7/HZI=")</f>
        <v>#REF!</v>
      </c>
      <c r="ER28" t="e">
        <f>AND(DATASORT!#REF!,"AAAAAF7/HZM=")</f>
        <v>#REF!</v>
      </c>
      <c r="ES28" t="e">
        <f>AND(DATASORT!#REF!,"AAAAAF7/HZQ=")</f>
        <v>#REF!</v>
      </c>
      <c r="ET28" t="e">
        <f>AND(DATASORT!#REF!,"AAAAAF7/HZU=")</f>
        <v>#REF!</v>
      </c>
      <c r="EU28" t="e">
        <f>IF(DATASORT!#REF!,"AAAAAF7/HZY=",0)</f>
        <v>#REF!</v>
      </c>
      <c r="EV28" t="e">
        <f>AND(DATASORT!#REF!,"AAAAAF7/HZc=")</f>
        <v>#REF!</v>
      </c>
      <c r="EW28" t="e">
        <f>AND(DATASORT!#REF!,"AAAAAF7/HZg=")</f>
        <v>#REF!</v>
      </c>
      <c r="EX28" t="e">
        <f>AND(DATASORT!#REF!,"AAAAAF7/HZk=")</f>
        <v>#REF!</v>
      </c>
      <c r="EY28" t="e">
        <f>AND(DATASORT!#REF!,"AAAAAF7/HZo=")</f>
        <v>#REF!</v>
      </c>
      <c r="EZ28" t="e">
        <f>AND(DATASORT!#REF!,"AAAAAF7/HZs=")</f>
        <v>#REF!</v>
      </c>
      <c r="FA28" t="e">
        <f>AND(DATASORT!#REF!,"AAAAAF7/HZw=")</f>
        <v>#REF!</v>
      </c>
      <c r="FB28" t="e">
        <f>AND(DATASORT!#REF!,"AAAAAF7/HZ0=")</f>
        <v>#REF!</v>
      </c>
      <c r="FC28" t="e">
        <f>AND(DATASORT!#REF!,"AAAAAF7/HZ4=")</f>
        <v>#REF!</v>
      </c>
      <c r="FD28" t="e">
        <f>AND(DATASORT!#REF!,"AAAAAF7/HZ8=")</f>
        <v>#REF!</v>
      </c>
      <c r="FE28" t="e">
        <f>AND(DATASORT!#REF!,"AAAAAF7/HaA=")</f>
        <v>#REF!</v>
      </c>
      <c r="FF28" t="e">
        <f>AND(DATASORT!#REF!,"AAAAAF7/HaE=")</f>
        <v>#REF!</v>
      </c>
      <c r="FG28" t="e">
        <f>AND(DATASORT!#REF!,"AAAAAF7/HaI=")</f>
        <v>#REF!</v>
      </c>
      <c r="FH28" t="e">
        <f>AND(DATASORT!#REF!,"AAAAAF7/HaM=")</f>
        <v>#REF!</v>
      </c>
      <c r="FI28" t="e">
        <f>AND(DATASORT!#REF!,"AAAAAF7/HaQ=")</f>
        <v>#REF!</v>
      </c>
      <c r="FJ28" t="e">
        <f>AND(DATASORT!#REF!,"AAAAAF7/HaU=")</f>
        <v>#REF!</v>
      </c>
      <c r="FK28" t="e">
        <f>AND(DATASORT!#REF!,"AAAAAF7/HaY=")</f>
        <v>#REF!</v>
      </c>
      <c r="FL28" t="e">
        <f>AND(DATASORT!#REF!,"AAAAAF7/Hac=")</f>
        <v>#REF!</v>
      </c>
      <c r="FM28" t="e">
        <f>AND(DATASORT!#REF!,"AAAAAF7/Hag=")</f>
        <v>#REF!</v>
      </c>
      <c r="FN28" t="e">
        <f>AND(DATASORT!#REF!,"AAAAAF7/Hak=")</f>
        <v>#REF!</v>
      </c>
      <c r="FO28" t="e">
        <f>AND(DATASORT!#REF!,"AAAAAF7/Hao=")</f>
        <v>#REF!</v>
      </c>
      <c r="FP28" t="e">
        <f>AND(DATASORT!#REF!,"AAAAAF7/Has=")</f>
        <v>#REF!</v>
      </c>
      <c r="FQ28" t="e">
        <f>AND(DATASORT!#REF!,"AAAAAF7/Haw=")</f>
        <v>#REF!</v>
      </c>
      <c r="FR28" t="e">
        <f>AND(DATASORT!#REF!,"AAAAAF7/Ha0=")</f>
        <v>#REF!</v>
      </c>
      <c r="FS28" t="e">
        <f>AND(DATASORT!#REF!,"AAAAAF7/Ha4=")</f>
        <v>#REF!</v>
      </c>
      <c r="FT28" t="e">
        <f>AND(DATASORT!#REF!,"AAAAAF7/Ha8=")</f>
        <v>#REF!</v>
      </c>
      <c r="FU28" t="e">
        <f>AND(DATASORT!#REF!,"AAAAAF7/HbA=")</f>
        <v>#REF!</v>
      </c>
      <c r="FV28" t="e">
        <f>AND(DATASORT!#REF!,"AAAAAF7/HbE=")</f>
        <v>#REF!</v>
      </c>
      <c r="FW28" t="e">
        <f>IF(DATASORT!#REF!,"AAAAAF7/HbI=",0)</f>
        <v>#REF!</v>
      </c>
      <c r="FX28" t="e">
        <f>AND(DATASORT!#REF!,"AAAAAF7/HbM=")</f>
        <v>#REF!</v>
      </c>
      <c r="FY28" t="e">
        <f>AND(DATASORT!#REF!,"AAAAAF7/HbQ=")</f>
        <v>#REF!</v>
      </c>
      <c r="FZ28" t="e">
        <f>AND(DATASORT!#REF!,"AAAAAF7/HbU=")</f>
        <v>#REF!</v>
      </c>
      <c r="GA28" t="e">
        <f>AND(DATASORT!#REF!,"AAAAAF7/HbY=")</f>
        <v>#REF!</v>
      </c>
      <c r="GB28" t="e">
        <f>AND(DATASORT!#REF!,"AAAAAF7/Hbc=")</f>
        <v>#REF!</v>
      </c>
      <c r="GC28" t="e">
        <f>AND(DATASORT!#REF!,"AAAAAF7/Hbg=")</f>
        <v>#REF!</v>
      </c>
      <c r="GD28" t="e">
        <f>AND(DATASORT!#REF!,"AAAAAF7/Hbk=")</f>
        <v>#REF!</v>
      </c>
      <c r="GE28" t="e">
        <f>AND(DATASORT!#REF!,"AAAAAF7/Hbo=")</f>
        <v>#REF!</v>
      </c>
      <c r="GF28" t="e">
        <f>AND(DATASORT!#REF!,"AAAAAF7/Hbs=")</f>
        <v>#REF!</v>
      </c>
      <c r="GG28" t="e">
        <f>AND(DATASORT!#REF!,"AAAAAF7/Hbw=")</f>
        <v>#REF!</v>
      </c>
      <c r="GH28" t="e">
        <f>AND(DATASORT!#REF!,"AAAAAF7/Hb0=")</f>
        <v>#REF!</v>
      </c>
      <c r="GI28" t="e">
        <f>AND(DATASORT!#REF!,"AAAAAF7/Hb4=")</f>
        <v>#REF!</v>
      </c>
      <c r="GJ28" t="e">
        <f>AND(DATASORT!#REF!,"AAAAAF7/Hb8=")</f>
        <v>#REF!</v>
      </c>
      <c r="GK28" t="e">
        <f>AND(DATASORT!#REF!,"AAAAAF7/HcA=")</f>
        <v>#REF!</v>
      </c>
      <c r="GL28" t="e">
        <f>AND(DATASORT!#REF!,"AAAAAF7/HcE=")</f>
        <v>#REF!</v>
      </c>
      <c r="GM28" t="e">
        <f>AND(DATASORT!#REF!,"AAAAAF7/HcI=")</f>
        <v>#REF!</v>
      </c>
      <c r="GN28" t="e">
        <f>AND(DATASORT!#REF!,"AAAAAF7/HcM=")</f>
        <v>#REF!</v>
      </c>
      <c r="GO28" t="e">
        <f>AND(DATASORT!#REF!,"AAAAAF7/HcQ=")</f>
        <v>#REF!</v>
      </c>
      <c r="GP28" t="e">
        <f>AND(DATASORT!#REF!,"AAAAAF7/HcU=")</f>
        <v>#REF!</v>
      </c>
      <c r="GQ28" t="e">
        <f>AND(DATASORT!#REF!,"AAAAAF7/HcY=")</f>
        <v>#REF!</v>
      </c>
      <c r="GR28" t="e">
        <f>AND(DATASORT!#REF!,"AAAAAF7/Hcc=")</f>
        <v>#REF!</v>
      </c>
      <c r="GS28" t="e">
        <f>AND(DATASORT!#REF!,"AAAAAF7/Hcg=")</f>
        <v>#REF!</v>
      </c>
      <c r="GT28" t="e">
        <f>AND(DATASORT!#REF!,"AAAAAF7/Hck=")</f>
        <v>#REF!</v>
      </c>
      <c r="GU28" t="e">
        <f>AND(DATASORT!#REF!,"AAAAAF7/Hco=")</f>
        <v>#REF!</v>
      </c>
      <c r="GV28" t="e">
        <f>AND(DATASORT!#REF!,"AAAAAF7/Hcs=")</f>
        <v>#REF!</v>
      </c>
      <c r="GW28" t="e">
        <f>AND(DATASORT!#REF!,"AAAAAF7/Hcw=")</f>
        <v>#REF!</v>
      </c>
      <c r="GX28" t="e">
        <f>AND(DATASORT!#REF!,"AAAAAF7/Hc0=")</f>
        <v>#REF!</v>
      </c>
      <c r="GY28" t="e">
        <f>IF(DATASORT!#REF!,"AAAAAF7/Hc4=",0)</f>
        <v>#REF!</v>
      </c>
      <c r="GZ28" t="e">
        <f>AND(DATASORT!#REF!,"AAAAAF7/Hc8=")</f>
        <v>#REF!</v>
      </c>
      <c r="HA28" t="e">
        <f>AND(DATASORT!#REF!,"AAAAAF7/HdA=")</f>
        <v>#REF!</v>
      </c>
      <c r="HB28" t="e">
        <f>AND(DATASORT!#REF!,"AAAAAF7/HdE=")</f>
        <v>#REF!</v>
      </c>
      <c r="HC28" t="e">
        <f>AND(DATASORT!#REF!,"AAAAAF7/HdI=")</f>
        <v>#REF!</v>
      </c>
      <c r="HD28" t="e">
        <f>AND(DATASORT!#REF!,"AAAAAF7/HdM=")</f>
        <v>#REF!</v>
      </c>
      <c r="HE28" t="e">
        <f>AND(DATASORT!#REF!,"AAAAAF7/HdQ=")</f>
        <v>#REF!</v>
      </c>
      <c r="HF28" t="e">
        <f>AND(DATASORT!#REF!,"AAAAAF7/HdU=")</f>
        <v>#REF!</v>
      </c>
      <c r="HG28" t="e">
        <f>AND(DATASORT!#REF!,"AAAAAF7/HdY=")</f>
        <v>#REF!</v>
      </c>
      <c r="HH28" t="e">
        <f>AND(DATASORT!#REF!,"AAAAAF7/Hdc=")</f>
        <v>#REF!</v>
      </c>
      <c r="HI28" t="e">
        <f>AND(DATASORT!#REF!,"AAAAAF7/Hdg=")</f>
        <v>#REF!</v>
      </c>
      <c r="HJ28" t="e">
        <f>AND(DATASORT!#REF!,"AAAAAF7/Hdk=")</f>
        <v>#REF!</v>
      </c>
      <c r="HK28" t="e">
        <f>AND(DATASORT!#REF!,"AAAAAF7/Hdo=")</f>
        <v>#REF!</v>
      </c>
      <c r="HL28" t="e">
        <f>AND(DATASORT!#REF!,"AAAAAF7/Hds=")</f>
        <v>#REF!</v>
      </c>
      <c r="HM28" t="e">
        <f>AND(DATASORT!#REF!,"AAAAAF7/Hdw=")</f>
        <v>#REF!</v>
      </c>
      <c r="HN28" t="e">
        <f>AND(DATASORT!#REF!,"AAAAAF7/Hd0=")</f>
        <v>#REF!</v>
      </c>
      <c r="HO28" t="e">
        <f>AND(DATASORT!#REF!,"AAAAAF7/Hd4=")</f>
        <v>#REF!</v>
      </c>
      <c r="HP28" t="e">
        <f>AND(DATASORT!#REF!,"AAAAAF7/Hd8=")</f>
        <v>#REF!</v>
      </c>
      <c r="HQ28" t="e">
        <f>AND(DATASORT!#REF!,"AAAAAF7/HeA=")</f>
        <v>#REF!</v>
      </c>
      <c r="HR28" t="e">
        <f>AND(DATASORT!#REF!,"AAAAAF7/HeE=")</f>
        <v>#REF!</v>
      </c>
      <c r="HS28" t="e">
        <f>AND(DATASORT!#REF!,"AAAAAF7/HeI=")</f>
        <v>#REF!</v>
      </c>
      <c r="HT28" t="e">
        <f>AND(DATASORT!#REF!,"AAAAAF7/HeM=")</f>
        <v>#REF!</v>
      </c>
      <c r="HU28" t="e">
        <f>AND(DATASORT!#REF!,"AAAAAF7/HeQ=")</f>
        <v>#REF!</v>
      </c>
      <c r="HV28" t="e">
        <f>AND(DATASORT!#REF!,"AAAAAF7/HeU=")</f>
        <v>#REF!</v>
      </c>
      <c r="HW28" t="e">
        <f>AND(DATASORT!#REF!,"AAAAAF7/HeY=")</f>
        <v>#REF!</v>
      </c>
      <c r="HX28" t="e">
        <f>AND(DATASORT!#REF!,"AAAAAF7/Hec=")</f>
        <v>#REF!</v>
      </c>
      <c r="HY28" t="e">
        <f>AND(DATASORT!#REF!,"AAAAAF7/Heg=")</f>
        <v>#REF!</v>
      </c>
      <c r="HZ28" t="e">
        <f>AND(DATASORT!#REF!,"AAAAAF7/Hek=")</f>
        <v>#REF!</v>
      </c>
      <c r="IA28" t="e">
        <f>IF(DATASORT!#REF!,"AAAAAF7/Heo=",0)</f>
        <v>#REF!</v>
      </c>
      <c r="IB28" t="e">
        <f>AND(DATASORT!#REF!,"AAAAAF7/Hes=")</f>
        <v>#REF!</v>
      </c>
      <c r="IC28" t="e">
        <f>AND(DATASORT!#REF!,"AAAAAF7/Hew=")</f>
        <v>#REF!</v>
      </c>
      <c r="ID28" t="e">
        <f>AND(DATASORT!#REF!,"AAAAAF7/He0=")</f>
        <v>#REF!</v>
      </c>
      <c r="IE28" t="e">
        <f>AND(DATASORT!#REF!,"AAAAAF7/He4=")</f>
        <v>#REF!</v>
      </c>
      <c r="IF28" t="e">
        <f>AND(DATASORT!#REF!,"AAAAAF7/He8=")</f>
        <v>#REF!</v>
      </c>
      <c r="IG28" t="e">
        <f>AND(DATASORT!#REF!,"AAAAAF7/HfA=")</f>
        <v>#REF!</v>
      </c>
      <c r="IH28" t="e">
        <f>AND(DATASORT!#REF!,"AAAAAF7/HfE=")</f>
        <v>#REF!</v>
      </c>
      <c r="II28" t="e">
        <f>AND(DATASORT!#REF!,"AAAAAF7/HfI=")</f>
        <v>#REF!</v>
      </c>
      <c r="IJ28" t="e">
        <f>AND(DATASORT!#REF!,"AAAAAF7/HfM=")</f>
        <v>#REF!</v>
      </c>
      <c r="IK28" t="e">
        <f>AND(DATASORT!#REF!,"AAAAAF7/HfQ=")</f>
        <v>#REF!</v>
      </c>
      <c r="IL28" t="e">
        <f>AND(DATASORT!#REF!,"AAAAAF7/HfU=")</f>
        <v>#REF!</v>
      </c>
      <c r="IM28" t="e">
        <f>AND(DATASORT!#REF!,"AAAAAF7/HfY=")</f>
        <v>#REF!</v>
      </c>
      <c r="IN28" t="e">
        <f>AND(DATASORT!#REF!,"AAAAAF7/Hfc=")</f>
        <v>#REF!</v>
      </c>
      <c r="IO28" t="e">
        <f>AND(DATASORT!#REF!,"AAAAAF7/Hfg=")</f>
        <v>#REF!</v>
      </c>
      <c r="IP28" t="e">
        <f>AND(DATASORT!#REF!,"AAAAAF7/Hfk=")</f>
        <v>#REF!</v>
      </c>
      <c r="IQ28" t="e">
        <f>AND(DATASORT!#REF!,"AAAAAF7/Hfo=")</f>
        <v>#REF!</v>
      </c>
      <c r="IR28" t="e">
        <f>AND(DATASORT!#REF!,"AAAAAF7/Hfs=")</f>
        <v>#REF!</v>
      </c>
      <c r="IS28" t="e">
        <f>AND(DATASORT!#REF!,"AAAAAF7/Hfw=")</f>
        <v>#REF!</v>
      </c>
      <c r="IT28" t="e">
        <f>AND(DATASORT!#REF!,"AAAAAF7/Hf0=")</f>
        <v>#REF!</v>
      </c>
      <c r="IU28" t="e">
        <f>AND(DATASORT!#REF!,"AAAAAF7/Hf4=")</f>
        <v>#REF!</v>
      </c>
      <c r="IV28" t="e">
        <f>AND(DATASORT!#REF!,"AAAAAF7/Hf8=")</f>
        <v>#REF!</v>
      </c>
    </row>
    <row r="29" spans="1:256">
      <c r="A29" t="e">
        <f>AND(DATASORT!#REF!,"AAAAABb/uQA=")</f>
        <v>#REF!</v>
      </c>
      <c r="B29" t="e">
        <f>AND(DATASORT!#REF!,"AAAAABb/uQE=")</f>
        <v>#REF!</v>
      </c>
      <c r="C29" t="e">
        <f>AND(DATASORT!#REF!,"AAAAABb/uQI=")</f>
        <v>#REF!</v>
      </c>
      <c r="D29" t="e">
        <f>AND(DATASORT!#REF!,"AAAAABb/uQM=")</f>
        <v>#REF!</v>
      </c>
      <c r="E29" t="e">
        <f>AND(DATASORT!#REF!,"AAAAABb/uQQ=")</f>
        <v>#REF!</v>
      </c>
      <c r="F29" t="e">
        <f>AND(DATASORT!#REF!,"AAAAABb/uQU=")</f>
        <v>#REF!</v>
      </c>
      <c r="G29" t="e">
        <f>IF(DATASORT!#REF!,"AAAAABb/uQY=",0)</f>
        <v>#REF!</v>
      </c>
      <c r="H29" t="e">
        <f>AND(DATASORT!#REF!,"AAAAABb/uQc=")</f>
        <v>#REF!</v>
      </c>
      <c r="I29" t="e">
        <f>AND(DATASORT!#REF!,"AAAAABb/uQg=")</f>
        <v>#REF!</v>
      </c>
      <c r="J29" t="e">
        <f>AND(DATASORT!#REF!,"AAAAABb/uQk=")</f>
        <v>#REF!</v>
      </c>
      <c r="K29" t="e">
        <f>AND(DATASORT!#REF!,"AAAAABb/uQo=")</f>
        <v>#REF!</v>
      </c>
      <c r="L29" t="e">
        <f>AND(DATASORT!#REF!,"AAAAABb/uQs=")</f>
        <v>#REF!</v>
      </c>
      <c r="M29" t="e">
        <f>AND(DATASORT!#REF!,"AAAAABb/uQw=")</f>
        <v>#REF!</v>
      </c>
      <c r="N29" t="e">
        <f>AND(DATASORT!#REF!,"AAAAABb/uQ0=")</f>
        <v>#REF!</v>
      </c>
      <c r="O29" t="e">
        <f>AND(DATASORT!#REF!,"AAAAABb/uQ4=")</f>
        <v>#REF!</v>
      </c>
      <c r="P29" t="e">
        <f>AND(DATASORT!#REF!,"AAAAABb/uQ8=")</f>
        <v>#REF!</v>
      </c>
      <c r="Q29" t="e">
        <f>AND(DATASORT!#REF!,"AAAAABb/uRA=")</f>
        <v>#REF!</v>
      </c>
      <c r="R29" t="e">
        <f>AND(DATASORT!#REF!,"AAAAABb/uRE=")</f>
        <v>#REF!</v>
      </c>
      <c r="S29" t="e">
        <f>AND(DATASORT!#REF!,"AAAAABb/uRI=")</f>
        <v>#REF!</v>
      </c>
      <c r="T29" t="e">
        <f>AND(DATASORT!#REF!,"AAAAABb/uRM=")</f>
        <v>#REF!</v>
      </c>
      <c r="U29" t="e">
        <f>AND(DATASORT!#REF!,"AAAAABb/uRQ=")</f>
        <v>#REF!</v>
      </c>
      <c r="V29" t="e">
        <f>AND(DATASORT!#REF!,"AAAAABb/uRU=")</f>
        <v>#REF!</v>
      </c>
      <c r="W29" t="e">
        <f>AND(DATASORT!#REF!,"AAAAABb/uRY=")</f>
        <v>#REF!</v>
      </c>
      <c r="X29" t="e">
        <f>AND(DATASORT!#REF!,"AAAAABb/uRc=")</f>
        <v>#REF!</v>
      </c>
      <c r="Y29" t="e">
        <f>AND(DATASORT!#REF!,"AAAAABb/uRg=")</f>
        <v>#REF!</v>
      </c>
      <c r="Z29" t="e">
        <f>AND(DATASORT!#REF!,"AAAAABb/uRk=")</f>
        <v>#REF!</v>
      </c>
      <c r="AA29" t="e">
        <f>AND(DATASORT!#REF!,"AAAAABb/uRo=")</f>
        <v>#REF!</v>
      </c>
      <c r="AB29" t="e">
        <f>AND(DATASORT!#REF!,"AAAAABb/uRs=")</f>
        <v>#REF!</v>
      </c>
      <c r="AC29" t="e">
        <f>AND(DATASORT!#REF!,"AAAAABb/uRw=")</f>
        <v>#REF!</v>
      </c>
      <c r="AD29" t="e">
        <f>AND(DATASORT!#REF!,"AAAAABb/uR0=")</f>
        <v>#REF!</v>
      </c>
      <c r="AE29" t="e">
        <f>AND(DATASORT!#REF!,"AAAAABb/uR4=")</f>
        <v>#REF!</v>
      </c>
      <c r="AF29" t="e">
        <f>AND(DATASORT!#REF!,"AAAAABb/uR8=")</f>
        <v>#REF!</v>
      </c>
      <c r="AG29" t="e">
        <f>AND(DATASORT!#REF!,"AAAAABb/uSA=")</f>
        <v>#REF!</v>
      </c>
      <c r="AH29" t="e">
        <f>AND(DATASORT!#REF!,"AAAAABb/uSE=")</f>
        <v>#REF!</v>
      </c>
      <c r="AI29" t="e">
        <f>IF(DATASORT!#REF!,"AAAAABb/uSI=",0)</f>
        <v>#REF!</v>
      </c>
      <c r="AJ29" t="e">
        <f>AND(DATASORT!#REF!,"AAAAABb/uSM=")</f>
        <v>#REF!</v>
      </c>
      <c r="AK29" t="e">
        <f>AND(DATASORT!#REF!,"AAAAABb/uSQ=")</f>
        <v>#REF!</v>
      </c>
      <c r="AL29" t="e">
        <f>AND(DATASORT!#REF!,"AAAAABb/uSU=")</f>
        <v>#REF!</v>
      </c>
      <c r="AM29" t="e">
        <f>AND(DATASORT!#REF!,"AAAAABb/uSY=")</f>
        <v>#REF!</v>
      </c>
      <c r="AN29" t="e">
        <f>AND(DATASORT!#REF!,"AAAAABb/uSc=")</f>
        <v>#REF!</v>
      </c>
      <c r="AO29" t="e">
        <f>AND(DATASORT!#REF!,"AAAAABb/uSg=")</f>
        <v>#REF!</v>
      </c>
      <c r="AP29" t="e">
        <f>AND(DATASORT!#REF!,"AAAAABb/uSk=")</f>
        <v>#REF!</v>
      </c>
      <c r="AQ29" t="e">
        <f>AND(DATASORT!#REF!,"AAAAABb/uSo=")</f>
        <v>#REF!</v>
      </c>
      <c r="AR29" t="e">
        <f>AND(DATASORT!#REF!,"AAAAABb/uSs=")</f>
        <v>#REF!</v>
      </c>
      <c r="AS29" t="e">
        <f>AND(DATASORT!#REF!,"AAAAABb/uSw=")</f>
        <v>#REF!</v>
      </c>
      <c r="AT29" t="e">
        <f>AND(DATASORT!#REF!,"AAAAABb/uS0=")</f>
        <v>#REF!</v>
      </c>
      <c r="AU29" t="e">
        <f>AND(DATASORT!#REF!,"AAAAABb/uS4=")</f>
        <v>#REF!</v>
      </c>
      <c r="AV29" t="e">
        <f>AND(DATASORT!#REF!,"AAAAABb/uS8=")</f>
        <v>#REF!</v>
      </c>
      <c r="AW29" t="e">
        <f>AND(DATASORT!#REF!,"AAAAABb/uTA=")</f>
        <v>#REF!</v>
      </c>
      <c r="AX29" t="e">
        <f>AND(DATASORT!#REF!,"AAAAABb/uTE=")</f>
        <v>#REF!</v>
      </c>
      <c r="AY29" t="e">
        <f>AND(DATASORT!#REF!,"AAAAABb/uTI=")</f>
        <v>#REF!</v>
      </c>
      <c r="AZ29" t="e">
        <f>AND(DATASORT!#REF!,"AAAAABb/uTM=")</f>
        <v>#REF!</v>
      </c>
      <c r="BA29" t="e">
        <f>AND(DATASORT!#REF!,"AAAAABb/uTQ=")</f>
        <v>#REF!</v>
      </c>
      <c r="BB29" t="e">
        <f>AND(DATASORT!#REF!,"AAAAABb/uTU=")</f>
        <v>#REF!</v>
      </c>
      <c r="BC29" t="e">
        <f>AND(DATASORT!#REF!,"AAAAABb/uTY=")</f>
        <v>#REF!</v>
      </c>
      <c r="BD29" t="e">
        <f>AND(DATASORT!#REF!,"AAAAABb/uTc=")</f>
        <v>#REF!</v>
      </c>
      <c r="BE29" t="e">
        <f>AND(DATASORT!#REF!,"AAAAABb/uTg=")</f>
        <v>#REF!</v>
      </c>
      <c r="BF29" t="e">
        <f>AND(DATASORT!#REF!,"AAAAABb/uTk=")</f>
        <v>#REF!</v>
      </c>
      <c r="BG29" t="e">
        <f>AND(DATASORT!#REF!,"AAAAABb/uTo=")</f>
        <v>#REF!</v>
      </c>
      <c r="BH29" t="e">
        <f>AND(DATASORT!#REF!,"AAAAABb/uTs=")</f>
        <v>#REF!</v>
      </c>
      <c r="BI29" t="e">
        <f>AND(DATASORT!#REF!,"AAAAABb/uTw=")</f>
        <v>#REF!</v>
      </c>
      <c r="BJ29" t="e">
        <f>AND(DATASORT!#REF!,"AAAAABb/uT0=")</f>
        <v>#REF!</v>
      </c>
      <c r="BK29" t="e">
        <f>IF(DATASORT!#REF!,"AAAAABb/uT4=",0)</f>
        <v>#REF!</v>
      </c>
      <c r="BL29" t="e">
        <f>AND(DATASORT!#REF!,"AAAAABb/uT8=")</f>
        <v>#REF!</v>
      </c>
      <c r="BM29" t="e">
        <f>AND(DATASORT!#REF!,"AAAAABb/uUA=")</f>
        <v>#REF!</v>
      </c>
      <c r="BN29" t="e">
        <f>AND(DATASORT!#REF!,"AAAAABb/uUE=")</f>
        <v>#REF!</v>
      </c>
      <c r="BO29" t="e">
        <f>AND(DATASORT!#REF!,"AAAAABb/uUI=")</f>
        <v>#REF!</v>
      </c>
      <c r="BP29" t="e">
        <f>AND(DATASORT!#REF!,"AAAAABb/uUM=")</f>
        <v>#REF!</v>
      </c>
      <c r="BQ29" t="e">
        <f>AND(DATASORT!#REF!,"AAAAABb/uUQ=")</f>
        <v>#REF!</v>
      </c>
      <c r="BR29" t="e">
        <f>AND(DATASORT!#REF!,"AAAAABb/uUU=")</f>
        <v>#REF!</v>
      </c>
      <c r="BS29" t="e">
        <f>AND(DATASORT!#REF!,"AAAAABb/uUY=")</f>
        <v>#REF!</v>
      </c>
      <c r="BT29" t="e">
        <f>AND(DATASORT!#REF!,"AAAAABb/uUc=")</f>
        <v>#REF!</v>
      </c>
      <c r="BU29" t="e">
        <f>AND(DATASORT!#REF!,"AAAAABb/uUg=")</f>
        <v>#REF!</v>
      </c>
      <c r="BV29" t="e">
        <f>AND(DATASORT!#REF!,"AAAAABb/uUk=")</f>
        <v>#REF!</v>
      </c>
      <c r="BW29" t="e">
        <f>AND(DATASORT!#REF!,"AAAAABb/uUo=")</f>
        <v>#REF!</v>
      </c>
      <c r="BX29" t="e">
        <f>AND(DATASORT!#REF!,"AAAAABb/uUs=")</f>
        <v>#REF!</v>
      </c>
      <c r="BY29" t="e">
        <f>AND(DATASORT!#REF!,"AAAAABb/uUw=")</f>
        <v>#REF!</v>
      </c>
      <c r="BZ29" t="e">
        <f>AND(DATASORT!#REF!,"AAAAABb/uU0=")</f>
        <v>#REF!</v>
      </c>
      <c r="CA29" t="e">
        <f>AND(DATASORT!#REF!,"AAAAABb/uU4=")</f>
        <v>#REF!</v>
      </c>
      <c r="CB29" t="e">
        <f>AND(DATASORT!#REF!,"AAAAABb/uU8=")</f>
        <v>#REF!</v>
      </c>
      <c r="CC29" t="e">
        <f>AND(DATASORT!#REF!,"AAAAABb/uVA=")</f>
        <v>#REF!</v>
      </c>
      <c r="CD29" t="e">
        <f>AND(DATASORT!#REF!,"AAAAABb/uVE=")</f>
        <v>#REF!</v>
      </c>
      <c r="CE29" t="e">
        <f>AND(DATASORT!#REF!,"AAAAABb/uVI=")</f>
        <v>#REF!</v>
      </c>
      <c r="CF29" t="e">
        <f>AND(DATASORT!#REF!,"AAAAABb/uVM=")</f>
        <v>#REF!</v>
      </c>
      <c r="CG29" t="e">
        <f>AND(DATASORT!#REF!,"AAAAABb/uVQ=")</f>
        <v>#REF!</v>
      </c>
      <c r="CH29" t="e">
        <f>AND(DATASORT!#REF!,"AAAAABb/uVU=")</f>
        <v>#REF!</v>
      </c>
      <c r="CI29" t="e">
        <f>AND(DATASORT!#REF!,"AAAAABb/uVY=")</f>
        <v>#REF!</v>
      </c>
      <c r="CJ29" t="e">
        <f>AND(DATASORT!#REF!,"AAAAABb/uVc=")</f>
        <v>#REF!</v>
      </c>
      <c r="CK29" t="e">
        <f>AND(DATASORT!#REF!,"AAAAABb/uVg=")</f>
        <v>#REF!</v>
      </c>
      <c r="CL29" t="e">
        <f>AND(DATASORT!#REF!,"AAAAABb/uVk=")</f>
        <v>#REF!</v>
      </c>
      <c r="CM29" t="e">
        <f>IF(DATASORT!#REF!,"AAAAABb/uVo=",0)</f>
        <v>#REF!</v>
      </c>
      <c r="CN29" t="e">
        <f>AND(DATASORT!#REF!,"AAAAABb/uVs=")</f>
        <v>#REF!</v>
      </c>
      <c r="CO29" t="e">
        <f>AND(DATASORT!#REF!,"AAAAABb/uVw=")</f>
        <v>#REF!</v>
      </c>
      <c r="CP29" t="e">
        <f>AND(DATASORT!#REF!,"AAAAABb/uV0=")</f>
        <v>#REF!</v>
      </c>
      <c r="CQ29" t="e">
        <f>AND(DATASORT!#REF!,"AAAAABb/uV4=")</f>
        <v>#REF!</v>
      </c>
      <c r="CR29" t="e">
        <f>AND(DATASORT!#REF!,"AAAAABb/uV8=")</f>
        <v>#REF!</v>
      </c>
      <c r="CS29" t="e">
        <f>AND(DATASORT!#REF!,"AAAAABb/uWA=")</f>
        <v>#REF!</v>
      </c>
      <c r="CT29" t="e">
        <f>AND(DATASORT!#REF!,"AAAAABb/uWE=")</f>
        <v>#REF!</v>
      </c>
      <c r="CU29" t="e">
        <f>AND(DATASORT!#REF!,"AAAAABb/uWI=")</f>
        <v>#REF!</v>
      </c>
      <c r="CV29" t="e">
        <f>AND(DATASORT!#REF!,"AAAAABb/uWM=")</f>
        <v>#REF!</v>
      </c>
      <c r="CW29" t="e">
        <f>AND(DATASORT!#REF!,"AAAAABb/uWQ=")</f>
        <v>#REF!</v>
      </c>
      <c r="CX29" t="e">
        <f>AND(DATASORT!#REF!,"AAAAABb/uWU=")</f>
        <v>#REF!</v>
      </c>
      <c r="CY29" t="e">
        <f>AND(DATASORT!#REF!,"AAAAABb/uWY=")</f>
        <v>#REF!</v>
      </c>
      <c r="CZ29" t="e">
        <f>AND(DATASORT!#REF!,"AAAAABb/uWc=")</f>
        <v>#REF!</v>
      </c>
      <c r="DA29" t="e">
        <f>AND(DATASORT!#REF!,"AAAAABb/uWg=")</f>
        <v>#REF!</v>
      </c>
      <c r="DB29" t="e">
        <f>AND(DATASORT!#REF!,"AAAAABb/uWk=")</f>
        <v>#REF!</v>
      </c>
      <c r="DC29" t="e">
        <f>AND(DATASORT!#REF!,"AAAAABb/uWo=")</f>
        <v>#REF!</v>
      </c>
      <c r="DD29" t="e">
        <f>AND(DATASORT!#REF!,"AAAAABb/uWs=")</f>
        <v>#REF!</v>
      </c>
      <c r="DE29" t="e">
        <f>AND(DATASORT!#REF!,"AAAAABb/uWw=")</f>
        <v>#REF!</v>
      </c>
      <c r="DF29" t="e">
        <f>AND(DATASORT!#REF!,"AAAAABb/uW0=")</f>
        <v>#REF!</v>
      </c>
      <c r="DG29" t="e">
        <f>AND(DATASORT!#REF!,"AAAAABb/uW4=")</f>
        <v>#REF!</v>
      </c>
      <c r="DH29" t="e">
        <f>AND(DATASORT!#REF!,"AAAAABb/uW8=")</f>
        <v>#REF!</v>
      </c>
      <c r="DI29" t="e">
        <f>AND(DATASORT!#REF!,"AAAAABb/uXA=")</f>
        <v>#REF!</v>
      </c>
      <c r="DJ29" t="e">
        <f>AND(DATASORT!#REF!,"AAAAABb/uXE=")</f>
        <v>#REF!</v>
      </c>
      <c r="DK29" t="e">
        <f>AND(DATASORT!#REF!,"AAAAABb/uXI=")</f>
        <v>#REF!</v>
      </c>
      <c r="DL29" t="e">
        <f>AND(DATASORT!#REF!,"AAAAABb/uXM=")</f>
        <v>#REF!</v>
      </c>
      <c r="DM29" t="e">
        <f>AND(DATASORT!#REF!,"AAAAABb/uXQ=")</f>
        <v>#REF!</v>
      </c>
      <c r="DN29" t="e">
        <f>AND(DATASORT!#REF!,"AAAAABb/uXU=")</f>
        <v>#REF!</v>
      </c>
      <c r="DO29" t="e">
        <f>IF(DATASORT!#REF!,"AAAAABb/uXY=",0)</f>
        <v>#REF!</v>
      </c>
      <c r="DP29" t="e">
        <f>AND(DATASORT!#REF!,"AAAAABb/uXc=")</f>
        <v>#REF!</v>
      </c>
      <c r="DQ29" t="e">
        <f>AND(DATASORT!#REF!,"AAAAABb/uXg=")</f>
        <v>#REF!</v>
      </c>
      <c r="DR29" t="e">
        <f>AND(DATASORT!#REF!,"AAAAABb/uXk=")</f>
        <v>#REF!</v>
      </c>
      <c r="DS29" t="e">
        <f>AND(DATASORT!#REF!,"AAAAABb/uXo=")</f>
        <v>#REF!</v>
      </c>
      <c r="DT29" t="e">
        <f>AND(DATASORT!#REF!,"AAAAABb/uXs=")</f>
        <v>#REF!</v>
      </c>
      <c r="DU29" t="e">
        <f>AND(DATASORT!#REF!,"AAAAABb/uXw=")</f>
        <v>#REF!</v>
      </c>
      <c r="DV29" t="e">
        <f>AND(DATASORT!#REF!,"AAAAABb/uX0=")</f>
        <v>#REF!</v>
      </c>
      <c r="DW29" t="e">
        <f>AND(DATASORT!#REF!,"AAAAABb/uX4=")</f>
        <v>#REF!</v>
      </c>
      <c r="DX29" t="e">
        <f>AND(DATASORT!#REF!,"AAAAABb/uX8=")</f>
        <v>#REF!</v>
      </c>
      <c r="DY29" t="e">
        <f>AND(DATASORT!#REF!,"AAAAABb/uYA=")</f>
        <v>#REF!</v>
      </c>
      <c r="DZ29" t="e">
        <f>AND(DATASORT!#REF!,"AAAAABb/uYE=")</f>
        <v>#REF!</v>
      </c>
      <c r="EA29" t="e">
        <f>AND(DATASORT!#REF!,"AAAAABb/uYI=")</f>
        <v>#REF!</v>
      </c>
      <c r="EB29" t="e">
        <f>AND(DATASORT!#REF!,"AAAAABb/uYM=")</f>
        <v>#REF!</v>
      </c>
      <c r="EC29" t="e">
        <f>AND(DATASORT!#REF!,"AAAAABb/uYQ=")</f>
        <v>#REF!</v>
      </c>
      <c r="ED29" t="e">
        <f>AND(DATASORT!#REF!,"AAAAABb/uYU=")</f>
        <v>#REF!</v>
      </c>
      <c r="EE29" t="e">
        <f>AND(DATASORT!#REF!,"AAAAABb/uYY=")</f>
        <v>#REF!</v>
      </c>
      <c r="EF29" t="e">
        <f>AND(DATASORT!#REF!,"AAAAABb/uYc=")</f>
        <v>#REF!</v>
      </c>
      <c r="EG29" t="e">
        <f>AND(DATASORT!#REF!,"AAAAABb/uYg=")</f>
        <v>#REF!</v>
      </c>
      <c r="EH29" t="e">
        <f>AND(DATASORT!#REF!,"AAAAABb/uYk=")</f>
        <v>#REF!</v>
      </c>
      <c r="EI29" t="e">
        <f>AND(DATASORT!#REF!,"AAAAABb/uYo=")</f>
        <v>#REF!</v>
      </c>
      <c r="EJ29" t="e">
        <f>AND(DATASORT!#REF!,"AAAAABb/uYs=")</f>
        <v>#REF!</v>
      </c>
      <c r="EK29" t="e">
        <f>AND(DATASORT!#REF!,"AAAAABb/uYw=")</f>
        <v>#REF!</v>
      </c>
      <c r="EL29" t="e">
        <f>AND(DATASORT!#REF!,"AAAAABb/uY0=")</f>
        <v>#REF!</v>
      </c>
      <c r="EM29" t="e">
        <f>AND(DATASORT!#REF!,"AAAAABb/uY4=")</f>
        <v>#REF!</v>
      </c>
      <c r="EN29" t="e">
        <f>AND(DATASORT!#REF!,"AAAAABb/uY8=")</f>
        <v>#REF!</v>
      </c>
      <c r="EO29" t="e">
        <f>AND(DATASORT!#REF!,"AAAAABb/uZA=")</f>
        <v>#REF!</v>
      </c>
      <c r="EP29" t="e">
        <f>AND(DATASORT!#REF!,"AAAAABb/uZE=")</f>
        <v>#REF!</v>
      </c>
      <c r="EQ29" t="e">
        <f>IF(DATASORT!#REF!,"AAAAABb/uZI=",0)</f>
        <v>#REF!</v>
      </c>
      <c r="ER29" t="e">
        <f>AND(DATASORT!#REF!,"AAAAABb/uZM=")</f>
        <v>#REF!</v>
      </c>
      <c r="ES29" t="e">
        <f>AND(DATASORT!#REF!,"AAAAABb/uZQ=")</f>
        <v>#REF!</v>
      </c>
      <c r="ET29" t="e">
        <f>AND(DATASORT!#REF!,"AAAAABb/uZU=")</f>
        <v>#REF!</v>
      </c>
      <c r="EU29" t="e">
        <f>AND(DATASORT!#REF!,"AAAAABb/uZY=")</f>
        <v>#REF!</v>
      </c>
      <c r="EV29" t="e">
        <f>AND(DATASORT!#REF!,"AAAAABb/uZc=")</f>
        <v>#REF!</v>
      </c>
      <c r="EW29" t="e">
        <f>AND(DATASORT!#REF!,"AAAAABb/uZg=")</f>
        <v>#REF!</v>
      </c>
      <c r="EX29" t="e">
        <f>AND(DATASORT!#REF!,"AAAAABb/uZk=")</f>
        <v>#REF!</v>
      </c>
      <c r="EY29" t="e">
        <f>AND(DATASORT!#REF!,"AAAAABb/uZo=")</f>
        <v>#REF!</v>
      </c>
      <c r="EZ29" t="e">
        <f>AND(DATASORT!#REF!,"AAAAABb/uZs=")</f>
        <v>#REF!</v>
      </c>
      <c r="FA29" t="e">
        <f>AND(DATASORT!#REF!,"AAAAABb/uZw=")</f>
        <v>#REF!</v>
      </c>
      <c r="FB29" t="e">
        <f>AND(DATASORT!#REF!,"AAAAABb/uZ0=")</f>
        <v>#REF!</v>
      </c>
      <c r="FC29" t="e">
        <f>AND(DATASORT!#REF!,"AAAAABb/uZ4=")</f>
        <v>#REF!</v>
      </c>
      <c r="FD29" t="e">
        <f>AND(DATASORT!#REF!,"AAAAABb/uZ8=")</f>
        <v>#REF!</v>
      </c>
      <c r="FE29" t="e">
        <f>AND(DATASORT!#REF!,"AAAAABb/uaA=")</f>
        <v>#REF!</v>
      </c>
      <c r="FF29" t="e">
        <f>AND(DATASORT!#REF!,"AAAAABb/uaE=")</f>
        <v>#REF!</v>
      </c>
      <c r="FG29" t="e">
        <f>AND(DATASORT!#REF!,"AAAAABb/uaI=")</f>
        <v>#REF!</v>
      </c>
      <c r="FH29" t="e">
        <f>AND(DATASORT!#REF!,"AAAAABb/uaM=")</f>
        <v>#REF!</v>
      </c>
      <c r="FI29" t="e">
        <f>AND(DATASORT!#REF!,"AAAAABb/uaQ=")</f>
        <v>#REF!</v>
      </c>
      <c r="FJ29" t="e">
        <f>AND(DATASORT!#REF!,"AAAAABb/uaU=")</f>
        <v>#REF!</v>
      </c>
      <c r="FK29" t="e">
        <f>AND(DATASORT!#REF!,"AAAAABb/uaY=")</f>
        <v>#REF!</v>
      </c>
      <c r="FL29" t="e">
        <f>AND(DATASORT!#REF!,"AAAAABb/uac=")</f>
        <v>#REF!</v>
      </c>
      <c r="FM29" t="e">
        <f>AND(DATASORT!#REF!,"AAAAABb/uag=")</f>
        <v>#REF!</v>
      </c>
      <c r="FN29" t="e">
        <f>AND(DATASORT!#REF!,"AAAAABb/uak=")</f>
        <v>#REF!</v>
      </c>
      <c r="FO29" t="e">
        <f>AND(DATASORT!#REF!,"AAAAABb/uao=")</f>
        <v>#REF!</v>
      </c>
      <c r="FP29" t="e">
        <f>AND(DATASORT!#REF!,"AAAAABb/uas=")</f>
        <v>#REF!</v>
      </c>
      <c r="FQ29" t="e">
        <f>AND(DATASORT!#REF!,"AAAAABb/uaw=")</f>
        <v>#REF!</v>
      </c>
      <c r="FR29" t="e">
        <f>AND(DATASORT!#REF!,"AAAAABb/ua0=")</f>
        <v>#REF!</v>
      </c>
      <c r="FS29" t="e">
        <f>IF(DATASORT!#REF!,"AAAAABb/ua4=",0)</f>
        <v>#REF!</v>
      </c>
      <c r="FT29" t="e">
        <f>AND(DATASORT!#REF!,"AAAAABb/ua8=")</f>
        <v>#REF!</v>
      </c>
      <c r="FU29" t="e">
        <f>AND(DATASORT!#REF!,"AAAAABb/ubA=")</f>
        <v>#REF!</v>
      </c>
      <c r="FV29" t="e">
        <f>AND(DATASORT!#REF!,"AAAAABb/ubE=")</f>
        <v>#REF!</v>
      </c>
      <c r="FW29" t="e">
        <f>AND(DATASORT!#REF!,"AAAAABb/ubI=")</f>
        <v>#REF!</v>
      </c>
      <c r="FX29" t="e">
        <f>AND(DATASORT!#REF!,"AAAAABb/ubM=")</f>
        <v>#REF!</v>
      </c>
      <c r="FY29" t="e">
        <f>AND(DATASORT!#REF!,"AAAAABb/ubQ=")</f>
        <v>#REF!</v>
      </c>
      <c r="FZ29" t="e">
        <f>AND(DATASORT!#REF!,"AAAAABb/ubU=")</f>
        <v>#REF!</v>
      </c>
      <c r="GA29" t="e">
        <f>AND(DATASORT!#REF!,"AAAAABb/ubY=")</f>
        <v>#REF!</v>
      </c>
      <c r="GB29" t="e">
        <f>AND(DATASORT!#REF!,"AAAAABb/ubc=")</f>
        <v>#REF!</v>
      </c>
      <c r="GC29" t="e">
        <f>AND(DATASORT!#REF!,"AAAAABb/ubg=")</f>
        <v>#REF!</v>
      </c>
      <c r="GD29" t="e">
        <f>AND(DATASORT!#REF!,"AAAAABb/ubk=")</f>
        <v>#REF!</v>
      </c>
      <c r="GE29" t="e">
        <f>AND(DATASORT!#REF!,"AAAAABb/ubo=")</f>
        <v>#REF!</v>
      </c>
      <c r="GF29" t="e">
        <f>AND(DATASORT!#REF!,"AAAAABb/ubs=")</f>
        <v>#REF!</v>
      </c>
      <c r="GG29" t="e">
        <f>AND(DATASORT!#REF!,"AAAAABb/ubw=")</f>
        <v>#REF!</v>
      </c>
      <c r="GH29" t="e">
        <f>AND(DATASORT!#REF!,"AAAAABb/ub0=")</f>
        <v>#REF!</v>
      </c>
      <c r="GI29" t="e">
        <f>AND(DATASORT!#REF!,"AAAAABb/ub4=")</f>
        <v>#REF!</v>
      </c>
      <c r="GJ29" t="e">
        <f>AND(DATASORT!#REF!,"AAAAABb/ub8=")</f>
        <v>#REF!</v>
      </c>
      <c r="GK29" t="e">
        <f>AND(DATASORT!#REF!,"AAAAABb/ucA=")</f>
        <v>#REF!</v>
      </c>
      <c r="GL29" t="e">
        <f>AND(DATASORT!#REF!,"AAAAABb/ucE=")</f>
        <v>#REF!</v>
      </c>
      <c r="GM29" t="e">
        <f>AND(DATASORT!#REF!,"AAAAABb/ucI=")</f>
        <v>#REF!</v>
      </c>
      <c r="GN29" t="e">
        <f>AND(DATASORT!#REF!,"AAAAABb/ucM=")</f>
        <v>#REF!</v>
      </c>
      <c r="GO29" t="e">
        <f>AND(DATASORT!#REF!,"AAAAABb/ucQ=")</f>
        <v>#REF!</v>
      </c>
      <c r="GP29" t="e">
        <f>AND(DATASORT!#REF!,"AAAAABb/ucU=")</f>
        <v>#REF!</v>
      </c>
      <c r="GQ29" t="e">
        <f>AND(DATASORT!#REF!,"AAAAABb/ucY=")</f>
        <v>#REF!</v>
      </c>
      <c r="GR29" t="e">
        <f>AND(DATASORT!#REF!,"AAAAABb/ucc=")</f>
        <v>#REF!</v>
      </c>
      <c r="GS29" t="e">
        <f>AND(DATASORT!#REF!,"AAAAABb/ucg=")</f>
        <v>#REF!</v>
      </c>
      <c r="GT29" t="e">
        <f>AND(DATASORT!#REF!,"AAAAABb/uck=")</f>
        <v>#REF!</v>
      </c>
      <c r="GU29" t="e">
        <f>IF(DATASORT!#REF!,"AAAAABb/uco=",0)</f>
        <v>#REF!</v>
      </c>
      <c r="GV29" t="e">
        <f>AND(DATASORT!#REF!,"AAAAABb/ucs=")</f>
        <v>#REF!</v>
      </c>
      <c r="GW29" t="e">
        <f>AND(DATASORT!#REF!,"AAAAABb/ucw=")</f>
        <v>#REF!</v>
      </c>
      <c r="GX29" t="e">
        <f>AND(DATASORT!#REF!,"AAAAABb/uc0=")</f>
        <v>#REF!</v>
      </c>
      <c r="GY29" t="e">
        <f>AND(DATASORT!#REF!,"AAAAABb/uc4=")</f>
        <v>#REF!</v>
      </c>
      <c r="GZ29" t="e">
        <f>AND(DATASORT!#REF!,"AAAAABb/uc8=")</f>
        <v>#REF!</v>
      </c>
      <c r="HA29" t="e">
        <f>AND(DATASORT!#REF!,"AAAAABb/udA=")</f>
        <v>#REF!</v>
      </c>
      <c r="HB29" t="e">
        <f>AND(DATASORT!#REF!,"AAAAABb/udE=")</f>
        <v>#REF!</v>
      </c>
      <c r="HC29" t="e">
        <f>AND(DATASORT!#REF!,"AAAAABb/udI=")</f>
        <v>#REF!</v>
      </c>
      <c r="HD29" t="e">
        <f>AND(DATASORT!#REF!,"AAAAABb/udM=")</f>
        <v>#REF!</v>
      </c>
      <c r="HE29" t="e">
        <f>AND(DATASORT!#REF!,"AAAAABb/udQ=")</f>
        <v>#REF!</v>
      </c>
      <c r="HF29" t="e">
        <f>AND(DATASORT!#REF!,"AAAAABb/udU=")</f>
        <v>#REF!</v>
      </c>
      <c r="HG29" t="e">
        <f>AND(DATASORT!#REF!,"AAAAABb/udY=")</f>
        <v>#REF!</v>
      </c>
      <c r="HH29" t="e">
        <f>AND(DATASORT!#REF!,"AAAAABb/udc=")</f>
        <v>#REF!</v>
      </c>
      <c r="HI29" t="e">
        <f>AND(DATASORT!#REF!,"AAAAABb/udg=")</f>
        <v>#REF!</v>
      </c>
      <c r="HJ29" t="e">
        <f>AND(DATASORT!#REF!,"AAAAABb/udk=")</f>
        <v>#REF!</v>
      </c>
      <c r="HK29" t="e">
        <f>AND(DATASORT!#REF!,"AAAAABb/udo=")</f>
        <v>#REF!</v>
      </c>
      <c r="HL29" t="e">
        <f>AND(DATASORT!#REF!,"AAAAABb/uds=")</f>
        <v>#REF!</v>
      </c>
      <c r="HM29" t="e">
        <f>AND(DATASORT!#REF!,"AAAAABb/udw=")</f>
        <v>#REF!</v>
      </c>
      <c r="HN29" t="e">
        <f>AND(DATASORT!#REF!,"AAAAABb/ud0=")</f>
        <v>#REF!</v>
      </c>
      <c r="HO29" t="e">
        <f>AND(DATASORT!#REF!,"AAAAABb/ud4=")</f>
        <v>#REF!</v>
      </c>
      <c r="HP29" t="e">
        <f>AND(DATASORT!#REF!,"AAAAABb/ud8=")</f>
        <v>#REF!</v>
      </c>
      <c r="HQ29" t="e">
        <f>AND(DATASORT!#REF!,"AAAAABb/ueA=")</f>
        <v>#REF!</v>
      </c>
      <c r="HR29" t="e">
        <f>AND(DATASORT!#REF!,"AAAAABb/ueE=")</f>
        <v>#REF!</v>
      </c>
      <c r="HS29" t="e">
        <f>AND(DATASORT!#REF!,"AAAAABb/ueI=")</f>
        <v>#REF!</v>
      </c>
      <c r="HT29" t="e">
        <f>AND(DATASORT!#REF!,"AAAAABb/ueM=")</f>
        <v>#REF!</v>
      </c>
      <c r="HU29" t="e">
        <f>AND(DATASORT!#REF!,"AAAAABb/ueQ=")</f>
        <v>#REF!</v>
      </c>
      <c r="HV29" t="e">
        <f>AND(DATASORT!#REF!,"AAAAABb/ueU=")</f>
        <v>#REF!</v>
      </c>
      <c r="HW29" t="e">
        <f>IF(DATASORT!#REF!,"AAAAABb/ueY=",0)</f>
        <v>#REF!</v>
      </c>
      <c r="HX29" t="e">
        <f>AND(DATASORT!#REF!,"AAAAABb/uec=")</f>
        <v>#REF!</v>
      </c>
      <c r="HY29" t="e">
        <f>AND(DATASORT!#REF!,"AAAAABb/ueg=")</f>
        <v>#REF!</v>
      </c>
      <c r="HZ29" t="e">
        <f>AND(DATASORT!#REF!,"AAAAABb/uek=")</f>
        <v>#REF!</v>
      </c>
      <c r="IA29" t="e">
        <f>AND(DATASORT!#REF!,"AAAAABb/ueo=")</f>
        <v>#REF!</v>
      </c>
      <c r="IB29" t="e">
        <f>AND(DATASORT!#REF!,"AAAAABb/ues=")</f>
        <v>#REF!</v>
      </c>
      <c r="IC29" t="e">
        <f>AND(DATASORT!#REF!,"AAAAABb/uew=")</f>
        <v>#REF!</v>
      </c>
      <c r="ID29" t="e">
        <f>AND(DATASORT!#REF!,"AAAAABb/ue0=")</f>
        <v>#REF!</v>
      </c>
      <c r="IE29" t="e">
        <f>AND(DATASORT!#REF!,"AAAAABb/ue4=")</f>
        <v>#REF!</v>
      </c>
      <c r="IF29" t="e">
        <f>AND(DATASORT!#REF!,"AAAAABb/ue8=")</f>
        <v>#REF!</v>
      </c>
      <c r="IG29" t="e">
        <f>AND(DATASORT!#REF!,"AAAAABb/ufA=")</f>
        <v>#REF!</v>
      </c>
      <c r="IH29" t="e">
        <f>AND(DATASORT!#REF!,"AAAAABb/ufE=")</f>
        <v>#REF!</v>
      </c>
      <c r="II29" t="e">
        <f>AND(DATASORT!#REF!,"AAAAABb/ufI=")</f>
        <v>#REF!</v>
      </c>
      <c r="IJ29" t="e">
        <f>AND(DATASORT!#REF!,"AAAAABb/ufM=")</f>
        <v>#REF!</v>
      </c>
      <c r="IK29" t="e">
        <f>AND(DATASORT!#REF!,"AAAAABb/ufQ=")</f>
        <v>#REF!</v>
      </c>
      <c r="IL29" t="e">
        <f>AND(DATASORT!#REF!,"AAAAABb/ufU=")</f>
        <v>#REF!</v>
      </c>
      <c r="IM29" t="e">
        <f>AND(DATASORT!#REF!,"AAAAABb/ufY=")</f>
        <v>#REF!</v>
      </c>
      <c r="IN29" t="e">
        <f>AND(DATASORT!#REF!,"AAAAABb/ufc=")</f>
        <v>#REF!</v>
      </c>
      <c r="IO29" t="e">
        <f>AND(DATASORT!#REF!,"AAAAABb/ufg=")</f>
        <v>#REF!</v>
      </c>
      <c r="IP29" t="e">
        <f>AND(DATASORT!#REF!,"AAAAABb/ufk=")</f>
        <v>#REF!</v>
      </c>
      <c r="IQ29" t="e">
        <f>AND(DATASORT!#REF!,"AAAAABb/ufo=")</f>
        <v>#REF!</v>
      </c>
      <c r="IR29" t="e">
        <f>AND(DATASORT!#REF!,"AAAAABb/ufs=")</f>
        <v>#REF!</v>
      </c>
      <c r="IS29" t="e">
        <f>AND(DATASORT!#REF!,"AAAAABb/ufw=")</f>
        <v>#REF!</v>
      </c>
      <c r="IT29" t="e">
        <f>AND(DATASORT!#REF!,"AAAAABb/uf0=")</f>
        <v>#REF!</v>
      </c>
      <c r="IU29" t="e">
        <f>AND(DATASORT!#REF!,"AAAAABb/uf4=")</f>
        <v>#REF!</v>
      </c>
      <c r="IV29" t="e">
        <f>AND(DATASORT!#REF!,"AAAAABb/uf8=")</f>
        <v>#REF!</v>
      </c>
    </row>
    <row r="30" spans="1:256">
      <c r="A30" t="e">
        <f>AND(DATASORT!#REF!,"AAAAAE9P/gA=")</f>
        <v>#REF!</v>
      </c>
      <c r="B30" t="e">
        <f>AND(DATASORT!#REF!,"AAAAAE9P/gE=")</f>
        <v>#REF!</v>
      </c>
      <c r="C30" t="e">
        <f>IF(DATASORT!#REF!,"AAAAAE9P/gI=",0)</f>
        <v>#REF!</v>
      </c>
      <c r="D30" t="e">
        <f>AND(DATASORT!#REF!,"AAAAAE9P/gM=")</f>
        <v>#REF!</v>
      </c>
      <c r="E30" t="e">
        <f>AND(DATASORT!#REF!,"AAAAAE9P/gQ=")</f>
        <v>#REF!</v>
      </c>
      <c r="F30" t="e">
        <f>AND(DATASORT!#REF!,"AAAAAE9P/gU=")</f>
        <v>#REF!</v>
      </c>
      <c r="G30" t="e">
        <f>AND(DATASORT!#REF!,"AAAAAE9P/gY=")</f>
        <v>#REF!</v>
      </c>
      <c r="H30" t="e">
        <f>AND(DATASORT!#REF!,"AAAAAE9P/gc=")</f>
        <v>#REF!</v>
      </c>
      <c r="I30" t="e">
        <f>AND(DATASORT!#REF!,"AAAAAE9P/gg=")</f>
        <v>#REF!</v>
      </c>
      <c r="J30" t="e">
        <f>AND(DATASORT!#REF!,"AAAAAE9P/gk=")</f>
        <v>#REF!</v>
      </c>
      <c r="K30" t="e">
        <f>AND(DATASORT!#REF!,"AAAAAE9P/go=")</f>
        <v>#REF!</v>
      </c>
      <c r="L30" t="e">
        <f>AND(DATASORT!#REF!,"AAAAAE9P/gs=")</f>
        <v>#REF!</v>
      </c>
      <c r="M30" t="e">
        <f>AND(DATASORT!#REF!,"AAAAAE9P/gw=")</f>
        <v>#REF!</v>
      </c>
      <c r="N30" t="e">
        <f>AND(DATASORT!#REF!,"AAAAAE9P/g0=")</f>
        <v>#REF!</v>
      </c>
      <c r="O30" t="e">
        <f>AND(DATASORT!#REF!,"AAAAAE9P/g4=")</f>
        <v>#REF!</v>
      </c>
      <c r="P30" t="e">
        <f>AND(DATASORT!#REF!,"AAAAAE9P/g8=")</f>
        <v>#REF!</v>
      </c>
      <c r="Q30" t="e">
        <f>AND(DATASORT!#REF!,"AAAAAE9P/hA=")</f>
        <v>#REF!</v>
      </c>
      <c r="R30" t="e">
        <f>AND(DATASORT!#REF!,"AAAAAE9P/hE=")</f>
        <v>#REF!</v>
      </c>
      <c r="S30" t="e">
        <f>AND(DATASORT!#REF!,"AAAAAE9P/hI=")</f>
        <v>#REF!</v>
      </c>
      <c r="T30" t="e">
        <f>AND(DATASORT!#REF!,"AAAAAE9P/hM=")</f>
        <v>#REF!</v>
      </c>
      <c r="U30" t="e">
        <f>AND(DATASORT!#REF!,"AAAAAE9P/hQ=")</f>
        <v>#REF!</v>
      </c>
      <c r="V30" t="e">
        <f>AND(DATASORT!#REF!,"AAAAAE9P/hU=")</f>
        <v>#REF!</v>
      </c>
      <c r="W30" t="e">
        <f>AND(DATASORT!#REF!,"AAAAAE9P/hY=")</f>
        <v>#REF!</v>
      </c>
      <c r="X30" t="e">
        <f>AND(DATASORT!#REF!,"AAAAAE9P/hc=")</f>
        <v>#REF!</v>
      </c>
      <c r="Y30" t="e">
        <f>AND(DATASORT!#REF!,"AAAAAE9P/hg=")</f>
        <v>#REF!</v>
      </c>
      <c r="Z30" t="e">
        <f>AND(DATASORT!#REF!,"AAAAAE9P/hk=")</f>
        <v>#REF!</v>
      </c>
      <c r="AA30" t="e">
        <f>AND(DATASORT!#REF!,"AAAAAE9P/ho=")</f>
        <v>#REF!</v>
      </c>
      <c r="AB30" t="e">
        <f>AND(DATASORT!#REF!,"AAAAAE9P/hs=")</f>
        <v>#REF!</v>
      </c>
      <c r="AC30" t="e">
        <f>AND(DATASORT!#REF!,"AAAAAE9P/hw=")</f>
        <v>#REF!</v>
      </c>
      <c r="AD30" t="e">
        <f>AND(DATASORT!#REF!,"AAAAAE9P/h0=")</f>
        <v>#REF!</v>
      </c>
      <c r="AE30" t="e">
        <f>IF(DATASORT!#REF!,"AAAAAE9P/h4=",0)</f>
        <v>#REF!</v>
      </c>
      <c r="AF30" t="e">
        <f>AND(DATASORT!#REF!,"AAAAAE9P/h8=")</f>
        <v>#REF!</v>
      </c>
      <c r="AG30" t="e">
        <f>AND(DATASORT!#REF!,"AAAAAE9P/iA=")</f>
        <v>#REF!</v>
      </c>
      <c r="AH30" t="e">
        <f>AND(DATASORT!#REF!,"AAAAAE9P/iE=")</f>
        <v>#REF!</v>
      </c>
      <c r="AI30" t="e">
        <f>AND(DATASORT!#REF!,"AAAAAE9P/iI=")</f>
        <v>#REF!</v>
      </c>
      <c r="AJ30" t="e">
        <f>AND(DATASORT!#REF!,"AAAAAE9P/iM=")</f>
        <v>#REF!</v>
      </c>
      <c r="AK30" t="e">
        <f>AND(DATASORT!#REF!,"AAAAAE9P/iQ=")</f>
        <v>#REF!</v>
      </c>
      <c r="AL30" t="e">
        <f>AND(DATASORT!#REF!,"AAAAAE9P/iU=")</f>
        <v>#REF!</v>
      </c>
      <c r="AM30" t="e">
        <f>AND(DATASORT!#REF!,"AAAAAE9P/iY=")</f>
        <v>#REF!</v>
      </c>
      <c r="AN30" t="e">
        <f>AND(DATASORT!#REF!,"AAAAAE9P/ic=")</f>
        <v>#REF!</v>
      </c>
      <c r="AO30" t="e">
        <f>AND(DATASORT!#REF!,"AAAAAE9P/ig=")</f>
        <v>#REF!</v>
      </c>
      <c r="AP30" t="e">
        <f>AND(DATASORT!#REF!,"AAAAAE9P/ik=")</f>
        <v>#REF!</v>
      </c>
      <c r="AQ30" t="e">
        <f>AND(DATASORT!#REF!,"AAAAAE9P/io=")</f>
        <v>#REF!</v>
      </c>
      <c r="AR30" t="e">
        <f>AND(DATASORT!#REF!,"AAAAAE9P/is=")</f>
        <v>#REF!</v>
      </c>
      <c r="AS30" t="e">
        <f>AND(DATASORT!#REF!,"AAAAAE9P/iw=")</f>
        <v>#REF!</v>
      </c>
      <c r="AT30" t="e">
        <f>AND(DATASORT!#REF!,"AAAAAE9P/i0=")</f>
        <v>#REF!</v>
      </c>
      <c r="AU30" t="e">
        <f>AND(DATASORT!#REF!,"AAAAAE9P/i4=")</f>
        <v>#REF!</v>
      </c>
      <c r="AV30" t="e">
        <f>AND(DATASORT!#REF!,"AAAAAE9P/i8=")</f>
        <v>#REF!</v>
      </c>
      <c r="AW30" t="e">
        <f>AND(DATASORT!#REF!,"AAAAAE9P/jA=")</f>
        <v>#REF!</v>
      </c>
      <c r="AX30" t="e">
        <f>AND(DATASORT!#REF!,"AAAAAE9P/jE=")</f>
        <v>#REF!</v>
      </c>
      <c r="AY30" t="e">
        <f>AND(DATASORT!#REF!,"AAAAAE9P/jI=")</f>
        <v>#REF!</v>
      </c>
      <c r="AZ30" t="e">
        <f>AND(DATASORT!#REF!,"AAAAAE9P/jM=")</f>
        <v>#REF!</v>
      </c>
      <c r="BA30" t="e">
        <f>AND(DATASORT!#REF!,"AAAAAE9P/jQ=")</f>
        <v>#REF!</v>
      </c>
      <c r="BB30" t="e">
        <f>AND(DATASORT!#REF!,"AAAAAE9P/jU=")</f>
        <v>#REF!</v>
      </c>
      <c r="BC30" t="e">
        <f>AND(DATASORT!#REF!,"AAAAAE9P/jY=")</f>
        <v>#REF!</v>
      </c>
      <c r="BD30" t="e">
        <f>AND(DATASORT!#REF!,"AAAAAE9P/jc=")</f>
        <v>#REF!</v>
      </c>
      <c r="BE30" t="e">
        <f>AND(DATASORT!#REF!,"AAAAAE9P/jg=")</f>
        <v>#REF!</v>
      </c>
      <c r="BF30" t="e">
        <f>AND(DATASORT!#REF!,"AAAAAE9P/jk=")</f>
        <v>#REF!</v>
      </c>
      <c r="BG30" t="e">
        <f>IF(DATASORT!#REF!,"AAAAAE9P/jo=",0)</f>
        <v>#REF!</v>
      </c>
      <c r="BH30" t="e">
        <f>AND(DATASORT!#REF!,"AAAAAE9P/js=")</f>
        <v>#REF!</v>
      </c>
      <c r="BI30" t="e">
        <f>AND(DATASORT!#REF!,"AAAAAE9P/jw=")</f>
        <v>#REF!</v>
      </c>
      <c r="BJ30" t="e">
        <f>AND(DATASORT!#REF!,"AAAAAE9P/j0=")</f>
        <v>#REF!</v>
      </c>
      <c r="BK30" t="e">
        <f>AND(DATASORT!#REF!,"AAAAAE9P/j4=")</f>
        <v>#REF!</v>
      </c>
      <c r="BL30" t="e">
        <f>AND(DATASORT!#REF!,"AAAAAE9P/j8=")</f>
        <v>#REF!</v>
      </c>
      <c r="BM30" t="e">
        <f>AND(DATASORT!#REF!,"AAAAAE9P/kA=")</f>
        <v>#REF!</v>
      </c>
      <c r="BN30" t="e">
        <f>AND(DATASORT!#REF!,"AAAAAE9P/kE=")</f>
        <v>#REF!</v>
      </c>
      <c r="BO30" t="e">
        <f>AND(DATASORT!#REF!,"AAAAAE9P/kI=")</f>
        <v>#REF!</v>
      </c>
      <c r="BP30" t="e">
        <f>AND(DATASORT!#REF!,"AAAAAE9P/kM=")</f>
        <v>#REF!</v>
      </c>
      <c r="BQ30" t="e">
        <f>AND(DATASORT!#REF!,"AAAAAE9P/kQ=")</f>
        <v>#REF!</v>
      </c>
      <c r="BR30" t="e">
        <f>AND(DATASORT!#REF!,"AAAAAE9P/kU=")</f>
        <v>#REF!</v>
      </c>
      <c r="BS30" t="e">
        <f>AND(DATASORT!#REF!,"AAAAAE9P/kY=")</f>
        <v>#REF!</v>
      </c>
      <c r="BT30" t="e">
        <f>AND(DATASORT!#REF!,"AAAAAE9P/kc=")</f>
        <v>#REF!</v>
      </c>
      <c r="BU30" t="e">
        <f>AND(DATASORT!#REF!,"AAAAAE9P/kg=")</f>
        <v>#REF!</v>
      </c>
      <c r="BV30" t="e">
        <f>AND(DATASORT!#REF!,"AAAAAE9P/kk=")</f>
        <v>#REF!</v>
      </c>
      <c r="BW30" t="e">
        <f>AND(DATASORT!#REF!,"AAAAAE9P/ko=")</f>
        <v>#REF!</v>
      </c>
      <c r="BX30" t="e">
        <f>AND(DATASORT!#REF!,"AAAAAE9P/ks=")</f>
        <v>#REF!</v>
      </c>
      <c r="BY30" t="e">
        <f>AND(DATASORT!#REF!,"AAAAAE9P/kw=")</f>
        <v>#REF!</v>
      </c>
      <c r="BZ30" t="e">
        <f>AND(DATASORT!#REF!,"AAAAAE9P/k0=")</f>
        <v>#REF!</v>
      </c>
      <c r="CA30" t="e">
        <f>AND(DATASORT!#REF!,"AAAAAE9P/k4=")</f>
        <v>#REF!</v>
      </c>
      <c r="CB30" t="e">
        <f>AND(DATASORT!#REF!,"AAAAAE9P/k8=")</f>
        <v>#REF!</v>
      </c>
      <c r="CC30" t="e">
        <f>AND(DATASORT!#REF!,"AAAAAE9P/lA=")</f>
        <v>#REF!</v>
      </c>
      <c r="CD30" t="e">
        <f>AND(DATASORT!#REF!,"AAAAAE9P/lE=")</f>
        <v>#REF!</v>
      </c>
      <c r="CE30" t="e">
        <f>AND(DATASORT!#REF!,"AAAAAE9P/lI=")</f>
        <v>#REF!</v>
      </c>
      <c r="CF30" t="e">
        <f>AND(DATASORT!#REF!,"AAAAAE9P/lM=")</f>
        <v>#REF!</v>
      </c>
      <c r="CG30" t="e">
        <f>AND(DATASORT!#REF!,"AAAAAE9P/lQ=")</f>
        <v>#REF!</v>
      </c>
      <c r="CH30" t="e">
        <f>AND(DATASORT!#REF!,"AAAAAE9P/lU=")</f>
        <v>#REF!</v>
      </c>
      <c r="CI30" t="e">
        <f>IF(DATASORT!#REF!,"AAAAAE9P/lY=",0)</f>
        <v>#REF!</v>
      </c>
      <c r="CJ30" t="e">
        <f>AND(DATASORT!#REF!,"AAAAAE9P/lc=")</f>
        <v>#REF!</v>
      </c>
      <c r="CK30" t="e">
        <f>AND(DATASORT!#REF!,"AAAAAE9P/lg=")</f>
        <v>#REF!</v>
      </c>
      <c r="CL30" t="e">
        <f>AND(DATASORT!#REF!,"AAAAAE9P/lk=")</f>
        <v>#REF!</v>
      </c>
      <c r="CM30" t="e">
        <f>AND(DATASORT!#REF!,"AAAAAE9P/lo=")</f>
        <v>#REF!</v>
      </c>
      <c r="CN30" t="e">
        <f>AND(DATASORT!#REF!,"AAAAAE9P/ls=")</f>
        <v>#REF!</v>
      </c>
      <c r="CO30" t="e">
        <f>AND(DATASORT!#REF!,"AAAAAE9P/lw=")</f>
        <v>#REF!</v>
      </c>
      <c r="CP30" t="e">
        <f>AND(DATASORT!#REF!,"AAAAAE9P/l0=")</f>
        <v>#REF!</v>
      </c>
      <c r="CQ30" t="e">
        <f>AND(DATASORT!#REF!,"AAAAAE9P/l4=")</f>
        <v>#REF!</v>
      </c>
      <c r="CR30" t="e">
        <f>AND(DATASORT!#REF!,"AAAAAE9P/l8=")</f>
        <v>#REF!</v>
      </c>
      <c r="CS30" t="e">
        <f>AND(DATASORT!#REF!,"AAAAAE9P/mA=")</f>
        <v>#REF!</v>
      </c>
      <c r="CT30" t="e">
        <f>AND(DATASORT!#REF!,"AAAAAE9P/mE=")</f>
        <v>#REF!</v>
      </c>
      <c r="CU30" t="e">
        <f>AND(DATASORT!#REF!,"AAAAAE9P/mI=")</f>
        <v>#REF!</v>
      </c>
      <c r="CV30" t="e">
        <f>AND(DATASORT!#REF!,"AAAAAE9P/mM=")</f>
        <v>#REF!</v>
      </c>
      <c r="CW30" t="e">
        <f>AND(DATASORT!#REF!,"AAAAAE9P/mQ=")</f>
        <v>#REF!</v>
      </c>
      <c r="CX30" t="e">
        <f>AND(DATASORT!#REF!,"AAAAAE9P/mU=")</f>
        <v>#REF!</v>
      </c>
      <c r="CY30" t="e">
        <f>AND(DATASORT!#REF!,"AAAAAE9P/mY=")</f>
        <v>#REF!</v>
      </c>
      <c r="CZ30" t="e">
        <f>AND(DATASORT!#REF!,"AAAAAE9P/mc=")</f>
        <v>#REF!</v>
      </c>
      <c r="DA30" t="e">
        <f>AND(DATASORT!#REF!,"AAAAAE9P/mg=")</f>
        <v>#REF!</v>
      </c>
      <c r="DB30" t="e">
        <f>AND(DATASORT!#REF!,"AAAAAE9P/mk=")</f>
        <v>#REF!</v>
      </c>
      <c r="DC30" t="e">
        <f>AND(DATASORT!#REF!,"AAAAAE9P/mo=")</f>
        <v>#REF!</v>
      </c>
      <c r="DD30" t="e">
        <f>AND(DATASORT!#REF!,"AAAAAE9P/ms=")</f>
        <v>#REF!</v>
      </c>
      <c r="DE30" t="e">
        <f>AND(DATASORT!#REF!,"AAAAAE9P/mw=")</f>
        <v>#REF!</v>
      </c>
      <c r="DF30" t="e">
        <f>AND(DATASORT!#REF!,"AAAAAE9P/m0=")</f>
        <v>#REF!</v>
      </c>
      <c r="DG30" t="e">
        <f>AND(DATASORT!#REF!,"AAAAAE9P/m4=")</f>
        <v>#REF!</v>
      </c>
      <c r="DH30" t="e">
        <f>AND(DATASORT!#REF!,"AAAAAE9P/m8=")</f>
        <v>#REF!</v>
      </c>
      <c r="DI30" t="e">
        <f>AND(DATASORT!#REF!,"AAAAAE9P/nA=")</f>
        <v>#REF!</v>
      </c>
      <c r="DJ30" t="e">
        <f>AND(DATASORT!#REF!,"AAAAAE9P/nE=")</f>
        <v>#REF!</v>
      </c>
      <c r="DK30" t="e">
        <f>IF(DATASORT!#REF!,"AAAAAE9P/nI=",0)</f>
        <v>#REF!</v>
      </c>
      <c r="DL30" t="e">
        <f>AND(DATASORT!#REF!,"AAAAAE9P/nM=")</f>
        <v>#REF!</v>
      </c>
      <c r="DM30" t="e">
        <f>AND(DATASORT!#REF!,"AAAAAE9P/nQ=")</f>
        <v>#REF!</v>
      </c>
      <c r="DN30" t="e">
        <f>AND(DATASORT!#REF!,"AAAAAE9P/nU=")</f>
        <v>#REF!</v>
      </c>
      <c r="DO30" t="e">
        <f>AND(DATASORT!#REF!,"AAAAAE9P/nY=")</f>
        <v>#REF!</v>
      </c>
      <c r="DP30" t="e">
        <f>AND(DATASORT!#REF!,"AAAAAE9P/nc=")</f>
        <v>#REF!</v>
      </c>
      <c r="DQ30" t="e">
        <f>AND(DATASORT!#REF!,"AAAAAE9P/ng=")</f>
        <v>#REF!</v>
      </c>
      <c r="DR30" t="e">
        <f>AND(DATASORT!#REF!,"AAAAAE9P/nk=")</f>
        <v>#REF!</v>
      </c>
      <c r="DS30" t="e">
        <f>AND(DATASORT!#REF!,"AAAAAE9P/no=")</f>
        <v>#REF!</v>
      </c>
      <c r="DT30" t="e">
        <f>AND(DATASORT!#REF!,"AAAAAE9P/ns=")</f>
        <v>#REF!</v>
      </c>
      <c r="DU30" t="e">
        <f>AND(DATASORT!#REF!,"AAAAAE9P/nw=")</f>
        <v>#REF!</v>
      </c>
      <c r="DV30" t="e">
        <f>AND(DATASORT!#REF!,"AAAAAE9P/n0=")</f>
        <v>#REF!</v>
      </c>
      <c r="DW30" t="e">
        <f>AND(DATASORT!#REF!,"AAAAAE9P/n4=")</f>
        <v>#REF!</v>
      </c>
      <c r="DX30" t="e">
        <f>AND(DATASORT!#REF!,"AAAAAE9P/n8=")</f>
        <v>#REF!</v>
      </c>
      <c r="DY30" t="e">
        <f>AND(DATASORT!#REF!,"AAAAAE9P/oA=")</f>
        <v>#REF!</v>
      </c>
      <c r="DZ30" t="e">
        <f>AND(DATASORT!#REF!,"AAAAAE9P/oE=")</f>
        <v>#REF!</v>
      </c>
      <c r="EA30" t="e">
        <f>AND(DATASORT!#REF!,"AAAAAE9P/oI=")</f>
        <v>#REF!</v>
      </c>
      <c r="EB30" t="e">
        <f>AND(DATASORT!#REF!,"AAAAAE9P/oM=")</f>
        <v>#REF!</v>
      </c>
      <c r="EC30" t="e">
        <f>AND(DATASORT!#REF!,"AAAAAE9P/oQ=")</f>
        <v>#REF!</v>
      </c>
      <c r="ED30" t="e">
        <f>AND(DATASORT!#REF!,"AAAAAE9P/oU=")</f>
        <v>#REF!</v>
      </c>
      <c r="EE30" t="e">
        <f>AND(DATASORT!#REF!,"AAAAAE9P/oY=")</f>
        <v>#REF!</v>
      </c>
      <c r="EF30" t="e">
        <f>AND(DATASORT!#REF!,"AAAAAE9P/oc=")</f>
        <v>#REF!</v>
      </c>
      <c r="EG30" t="e">
        <f>AND(DATASORT!#REF!,"AAAAAE9P/og=")</f>
        <v>#REF!</v>
      </c>
      <c r="EH30" t="e">
        <f>AND(DATASORT!#REF!,"AAAAAE9P/ok=")</f>
        <v>#REF!</v>
      </c>
      <c r="EI30" t="e">
        <f>AND(DATASORT!#REF!,"AAAAAE9P/oo=")</f>
        <v>#REF!</v>
      </c>
      <c r="EJ30" t="e">
        <f>AND(DATASORT!#REF!,"AAAAAE9P/os=")</f>
        <v>#REF!</v>
      </c>
      <c r="EK30" t="e">
        <f>AND(DATASORT!#REF!,"AAAAAE9P/ow=")</f>
        <v>#REF!</v>
      </c>
      <c r="EL30" t="e">
        <f>AND(DATASORT!#REF!,"AAAAAE9P/o0=")</f>
        <v>#REF!</v>
      </c>
      <c r="EM30" t="e">
        <f>IF(DATASORT!#REF!,"AAAAAE9P/o4=",0)</f>
        <v>#REF!</v>
      </c>
      <c r="EN30" t="e">
        <f>AND(DATASORT!#REF!,"AAAAAE9P/o8=")</f>
        <v>#REF!</v>
      </c>
      <c r="EO30" t="e">
        <f>AND(DATASORT!#REF!,"AAAAAE9P/pA=")</f>
        <v>#REF!</v>
      </c>
      <c r="EP30" t="e">
        <f>AND(DATASORT!#REF!,"AAAAAE9P/pE=")</f>
        <v>#REF!</v>
      </c>
      <c r="EQ30" t="e">
        <f>AND(DATASORT!#REF!,"AAAAAE9P/pI=")</f>
        <v>#REF!</v>
      </c>
      <c r="ER30" t="e">
        <f>AND(DATASORT!#REF!,"AAAAAE9P/pM=")</f>
        <v>#REF!</v>
      </c>
      <c r="ES30" t="e">
        <f>AND(DATASORT!#REF!,"AAAAAE9P/pQ=")</f>
        <v>#REF!</v>
      </c>
      <c r="ET30" t="e">
        <f>AND(DATASORT!#REF!,"AAAAAE9P/pU=")</f>
        <v>#REF!</v>
      </c>
      <c r="EU30" t="e">
        <f>AND(DATASORT!#REF!,"AAAAAE9P/pY=")</f>
        <v>#REF!</v>
      </c>
      <c r="EV30" t="e">
        <f>AND(DATASORT!#REF!,"AAAAAE9P/pc=")</f>
        <v>#REF!</v>
      </c>
      <c r="EW30" t="e">
        <f>AND(DATASORT!#REF!,"AAAAAE9P/pg=")</f>
        <v>#REF!</v>
      </c>
      <c r="EX30" t="e">
        <f>AND(DATASORT!#REF!,"AAAAAE9P/pk=")</f>
        <v>#REF!</v>
      </c>
      <c r="EY30" t="e">
        <f>AND(DATASORT!#REF!,"AAAAAE9P/po=")</f>
        <v>#REF!</v>
      </c>
      <c r="EZ30" t="e">
        <f>AND(DATASORT!#REF!,"AAAAAE9P/ps=")</f>
        <v>#REF!</v>
      </c>
      <c r="FA30" t="e">
        <f>AND(DATASORT!#REF!,"AAAAAE9P/pw=")</f>
        <v>#REF!</v>
      </c>
      <c r="FB30" t="e">
        <f>AND(DATASORT!#REF!,"AAAAAE9P/p0=")</f>
        <v>#REF!</v>
      </c>
      <c r="FC30" t="e">
        <f>AND(DATASORT!#REF!,"AAAAAE9P/p4=")</f>
        <v>#REF!</v>
      </c>
      <c r="FD30" t="e">
        <f>AND(DATASORT!#REF!,"AAAAAE9P/p8=")</f>
        <v>#REF!</v>
      </c>
      <c r="FE30" t="e">
        <f>AND(DATASORT!#REF!,"AAAAAE9P/qA=")</f>
        <v>#REF!</v>
      </c>
      <c r="FF30" t="e">
        <f>AND(DATASORT!#REF!,"AAAAAE9P/qE=")</f>
        <v>#REF!</v>
      </c>
      <c r="FG30" t="e">
        <f>AND(DATASORT!#REF!,"AAAAAE9P/qI=")</f>
        <v>#REF!</v>
      </c>
      <c r="FH30" t="e">
        <f>AND(DATASORT!#REF!,"AAAAAE9P/qM=")</f>
        <v>#REF!</v>
      </c>
      <c r="FI30" t="e">
        <f>AND(DATASORT!#REF!,"AAAAAE9P/qQ=")</f>
        <v>#REF!</v>
      </c>
      <c r="FJ30" t="e">
        <f>AND(DATASORT!#REF!,"AAAAAE9P/qU=")</f>
        <v>#REF!</v>
      </c>
      <c r="FK30" t="e">
        <f>AND(DATASORT!#REF!,"AAAAAE9P/qY=")</f>
        <v>#REF!</v>
      </c>
      <c r="FL30" t="e">
        <f>AND(DATASORT!#REF!,"AAAAAE9P/qc=")</f>
        <v>#REF!</v>
      </c>
      <c r="FM30" t="e">
        <f>AND(DATASORT!#REF!,"AAAAAE9P/qg=")</f>
        <v>#REF!</v>
      </c>
      <c r="FN30" t="e">
        <f>AND(DATASORT!#REF!,"AAAAAE9P/qk=")</f>
        <v>#REF!</v>
      </c>
      <c r="FO30" t="e">
        <f>IF(DATASORT!#REF!,"AAAAAE9P/qo=",0)</f>
        <v>#REF!</v>
      </c>
      <c r="FP30" t="e">
        <f>AND(DATASORT!#REF!,"AAAAAE9P/qs=")</f>
        <v>#REF!</v>
      </c>
      <c r="FQ30" t="e">
        <f>AND(DATASORT!#REF!,"AAAAAE9P/qw=")</f>
        <v>#REF!</v>
      </c>
      <c r="FR30" t="e">
        <f>AND(DATASORT!#REF!,"AAAAAE9P/q0=")</f>
        <v>#REF!</v>
      </c>
      <c r="FS30" t="e">
        <f>AND(DATASORT!#REF!,"AAAAAE9P/q4=")</f>
        <v>#REF!</v>
      </c>
      <c r="FT30" t="e">
        <f>AND(DATASORT!#REF!,"AAAAAE9P/q8=")</f>
        <v>#REF!</v>
      </c>
      <c r="FU30" t="e">
        <f>AND(DATASORT!#REF!,"AAAAAE9P/rA=")</f>
        <v>#REF!</v>
      </c>
      <c r="FV30" t="e">
        <f>AND(DATASORT!#REF!,"AAAAAE9P/rE=")</f>
        <v>#REF!</v>
      </c>
      <c r="FW30" t="e">
        <f>AND(DATASORT!#REF!,"AAAAAE9P/rI=")</f>
        <v>#REF!</v>
      </c>
      <c r="FX30" t="e">
        <f>AND(DATASORT!#REF!,"AAAAAE9P/rM=")</f>
        <v>#REF!</v>
      </c>
      <c r="FY30" t="e">
        <f>AND(DATASORT!#REF!,"AAAAAE9P/rQ=")</f>
        <v>#REF!</v>
      </c>
      <c r="FZ30" t="e">
        <f>AND(DATASORT!#REF!,"AAAAAE9P/rU=")</f>
        <v>#REF!</v>
      </c>
      <c r="GA30" t="e">
        <f>AND(DATASORT!#REF!,"AAAAAE9P/rY=")</f>
        <v>#REF!</v>
      </c>
      <c r="GB30" t="e">
        <f>AND(DATASORT!#REF!,"AAAAAE9P/rc=")</f>
        <v>#REF!</v>
      </c>
      <c r="GC30" t="e">
        <f>AND(DATASORT!#REF!,"AAAAAE9P/rg=")</f>
        <v>#REF!</v>
      </c>
      <c r="GD30" t="e">
        <f>AND(DATASORT!#REF!,"AAAAAE9P/rk=")</f>
        <v>#REF!</v>
      </c>
      <c r="GE30" t="e">
        <f>AND(DATASORT!#REF!,"AAAAAE9P/ro=")</f>
        <v>#REF!</v>
      </c>
      <c r="GF30" t="e">
        <f>AND(DATASORT!#REF!,"AAAAAE9P/rs=")</f>
        <v>#REF!</v>
      </c>
      <c r="GG30" t="e">
        <f>AND(DATASORT!#REF!,"AAAAAE9P/rw=")</f>
        <v>#REF!</v>
      </c>
      <c r="GH30" t="e">
        <f>AND(DATASORT!#REF!,"AAAAAE9P/r0=")</f>
        <v>#REF!</v>
      </c>
      <c r="GI30" t="e">
        <f>AND(DATASORT!#REF!,"AAAAAE9P/r4=")</f>
        <v>#REF!</v>
      </c>
      <c r="GJ30" t="e">
        <f>AND(DATASORT!#REF!,"AAAAAE9P/r8=")</f>
        <v>#REF!</v>
      </c>
      <c r="GK30" t="e">
        <f>AND(DATASORT!#REF!,"AAAAAE9P/sA=")</f>
        <v>#REF!</v>
      </c>
      <c r="GL30" t="e">
        <f>AND(DATASORT!#REF!,"AAAAAE9P/sE=")</f>
        <v>#REF!</v>
      </c>
      <c r="GM30" t="e">
        <f>AND(DATASORT!#REF!,"AAAAAE9P/sI=")</f>
        <v>#REF!</v>
      </c>
      <c r="GN30" t="e">
        <f>AND(DATASORT!#REF!,"AAAAAE9P/sM=")</f>
        <v>#REF!</v>
      </c>
      <c r="GO30" t="e">
        <f>AND(DATASORT!#REF!,"AAAAAE9P/sQ=")</f>
        <v>#REF!</v>
      </c>
      <c r="GP30" t="e">
        <f>AND(DATASORT!#REF!,"AAAAAE9P/sU=")</f>
        <v>#REF!</v>
      </c>
      <c r="GQ30" t="e">
        <f>IF(DATASORT!#REF!,"AAAAAE9P/sY=",0)</f>
        <v>#REF!</v>
      </c>
      <c r="GR30" t="e">
        <f>AND(DATASORT!#REF!,"AAAAAE9P/sc=")</f>
        <v>#REF!</v>
      </c>
      <c r="GS30" t="e">
        <f>AND(DATASORT!#REF!,"AAAAAE9P/sg=")</f>
        <v>#REF!</v>
      </c>
      <c r="GT30" t="e">
        <f>AND(DATASORT!#REF!,"AAAAAE9P/sk=")</f>
        <v>#REF!</v>
      </c>
      <c r="GU30" t="e">
        <f>AND(DATASORT!#REF!,"AAAAAE9P/so=")</f>
        <v>#REF!</v>
      </c>
      <c r="GV30" t="e">
        <f>AND(DATASORT!#REF!,"AAAAAE9P/ss=")</f>
        <v>#REF!</v>
      </c>
      <c r="GW30" t="e">
        <f>AND(DATASORT!#REF!,"AAAAAE9P/sw=")</f>
        <v>#REF!</v>
      </c>
      <c r="GX30" t="e">
        <f>AND(DATASORT!#REF!,"AAAAAE9P/s0=")</f>
        <v>#REF!</v>
      </c>
      <c r="GY30" t="e">
        <f>AND(DATASORT!#REF!,"AAAAAE9P/s4=")</f>
        <v>#REF!</v>
      </c>
      <c r="GZ30" t="e">
        <f>AND(DATASORT!#REF!,"AAAAAE9P/s8=")</f>
        <v>#REF!</v>
      </c>
      <c r="HA30" t="e">
        <f>AND(DATASORT!#REF!,"AAAAAE9P/tA=")</f>
        <v>#REF!</v>
      </c>
      <c r="HB30" t="e">
        <f>AND(DATASORT!#REF!,"AAAAAE9P/tE=")</f>
        <v>#REF!</v>
      </c>
      <c r="HC30" t="e">
        <f>AND(DATASORT!#REF!,"AAAAAE9P/tI=")</f>
        <v>#REF!</v>
      </c>
      <c r="HD30" t="e">
        <f>AND(DATASORT!#REF!,"AAAAAE9P/tM=")</f>
        <v>#REF!</v>
      </c>
      <c r="HE30" t="e">
        <f>AND(DATASORT!#REF!,"AAAAAE9P/tQ=")</f>
        <v>#REF!</v>
      </c>
      <c r="HF30" t="e">
        <f>AND(DATASORT!#REF!,"AAAAAE9P/tU=")</f>
        <v>#REF!</v>
      </c>
      <c r="HG30" t="e">
        <f>AND(DATASORT!#REF!,"AAAAAE9P/tY=")</f>
        <v>#REF!</v>
      </c>
      <c r="HH30" t="e">
        <f>AND(DATASORT!#REF!,"AAAAAE9P/tc=")</f>
        <v>#REF!</v>
      </c>
      <c r="HI30" t="e">
        <f>AND(DATASORT!#REF!,"AAAAAE9P/tg=")</f>
        <v>#REF!</v>
      </c>
      <c r="HJ30" t="e">
        <f>AND(DATASORT!#REF!,"AAAAAE9P/tk=")</f>
        <v>#REF!</v>
      </c>
      <c r="HK30" t="e">
        <f>AND(DATASORT!#REF!,"AAAAAE9P/to=")</f>
        <v>#REF!</v>
      </c>
      <c r="HL30" t="e">
        <f>AND(DATASORT!#REF!,"AAAAAE9P/ts=")</f>
        <v>#REF!</v>
      </c>
      <c r="HM30" t="e">
        <f>AND(DATASORT!#REF!,"AAAAAE9P/tw=")</f>
        <v>#REF!</v>
      </c>
      <c r="HN30" t="e">
        <f>AND(DATASORT!#REF!,"AAAAAE9P/t0=")</f>
        <v>#REF!</v>
      </c>
      <c r="HO30" t="e">
        <f>AND(DATASORT!#REF!,"AAAAAE9P/t4=")</f>
        <v>#REF!</v>
      </c>
      <c r="HP30" t="e">
        <f>AND(DATASORT!#REF!,"AAAAAE9P/t8=")</f>
        <v>#REF!</v>
      </c>
      <c r="HQ30" t="e">
        <f>AND(DATASORT!#REF!,"AAAAAE9P/uA=")</f>
        <v>#REF!</v>
      </c>
      <c r="HR30" t="e">
        <f>AND(DATASORT!#REF!,"AAAAAE9P/uE=")</f>
        <v>#REF!</v>
      </c>
      <c r="HS30" t="e">
        <f>IF(DATASORT!#REF!,"AAAAAE9P/uI=",0)</f>
        <v>#REF!</v>
      </c>
      <c r="HT30" t="e">
        <f>AND(DATASORT!#REF!,"AAAAAE9P/uM=")</f>
        <v>#REF!</v>
      </c>
      <c r="HU30" t="e">
        <f>AND(DATASORT!#REF!,"AAAAAE9P/uQ=")</f>
        <v>#REF!</v>
      </c>
      <c r="HV30" t="e">
        <f>AND(DATASORT!#REF!,"AAAAAE9P/uU=")</f>
        <v>#REF!</v>
      </c>
      <c r="HW30" t="e">
        <f>AND(DATASORT!#REF!,"AAAAAE9P/uY=")</f>
        <v>#REF!</v>
      </c>
      <c r="HX30" t="e">
        <f>AND(DATASORT!#REF!,"AAAAAE9P/uc=")</f>
        <v>#REF!</v>
      </c>
      <c r="HY30" t="e">
        <f>AND(DATASORT!#REF!,"AAAAAE9P/ug=")</f>
        <v>#REF!</v>
      </c>
      <c r="HZ30" t="e">
        <f>AND(DATASORT!#REF!,"AAAAAE9P/uk=")</f>
        <v>#REF!</v>
      </c>
      <c r="IA30" t="e">
        <f>AND(DATASORT!#REF!,"AAAAAE9P/uo=")</f>
        <v>#REF!</v>
      </c>
      <c r="IB30" t="e">
        <f>AND(DATASORT!#REF!,"AAAAAE9P/us=")</f>
        <v>#REF!</v>
      </c>
      <c r="IC30" t="e">
        <f>AND(DATASORT!#REF!,"AAAAAE9P/uw=")</f>
        <v>#REF!</v>
      </c>
      <c r="ID30" t="e">
        <f>AND(DATASORT!#REF!,"AAAAAE9P/u0=")</f>
        <v>#REF!</v>
      </c>
      <c r="IE30" t="e">
        <f>AND(DATASORT!#REF!,"AAAAAE9P/u4=")</f>
        <v>#REF!</v>
      </c>
      <c r="IF30" t="e">
        <f>AND(DATASORT!#REF!,"AAAAAE9P/u8=")</f>
        <v>#REF!</v>
      </c>
      <c r="IG30" t="e">
        <f>AND(DATASORT!#REF!,"AAAAAE9P/vA=")</f>
        <v>#REF!</v>
      </c>
      <c r="IH30" t="e">
        <f>AND(DATASORT!#REF!,"AAAAAE9P/vE=")</f>
        <v>#REF!</v>
      </c>
      <c r="II30" t="e">
        <f>AND(DATASORT!#REF!,"AAAAAE9P/vI=")</f>
        <v>#REF!</v>
      </c>
      <c r="IJ30" t="e">
        <f>AND(DATASORT!#REF!,"AAAAAE9P/vM=")</f>
        <v>#REF!</v>
      </c>
      <c r="IK30" t="e">
        <f>AND(DATASORT!#REF!,"AAAAAE9P/vQ=")</f>
        <v>#REF!</v>
      </c>
      <c r="IL30" t="e">
        <f>AND(DATASORT!#REF!,"AAAAAE9P/vU=")</f>
        <v>#REF!</v>
      </c>
      <c r="IM30" t="e">
        <f>AND(DATASORT!#REF!,"AAAAAE9P/vY=")</f>
        <v>#REF!</v>
      </c>
      <c r="IN30" t="e">
        <f>AND(DATASORT!#REF!,"AAAAAE9P/vc=")</f>
        <v>#REF!</v>
      </c>
      <c r="IO30" t="e">
        <f>AND(DATASORT!#REF!,"AAAAAE9P/vg=")</f>
        <v>#REF!</v>
      </c>
      <c r="IP30" t="e">
        <f>AND(DATASORT!#REF!,"AAAAAE9P/vk=")</f>
        <v>#REF!</v>
      </c>
      <c r="IQ30" t="e">
        <f>AND(DATASORT!#REF!,"AAAAAE9P/vo=")</f>
        <v>#REF!</v>
      </c>
      <c r="IR30" t="e">
        <f>AND(DATASORT!#REF!,"AAAAAE9P/vs=")</f>
        <v>#REF!</v>
      </c>
      <c r="IS30" t="e">
        <f>AND(DATASORT!#REF!,"AAAAAE9P/vw=")</f>
        <v>#REF!</v>
      </c>
      <c r="IT30" t="e">
        <f>AND(DATASORT!#REF!,"AAAAAE9P/v0=")</f>
        <v>#REF!</v>
      </c>
      <c r="IU30" t="e">
        <f>IF(DATASORT!#REF!,"AAAAAE9P/v4=",0)</f>
        <v>#REF!</v>
      </c>
      <c r="IV30" t="e">
        <f>AND(DATASORT!#REF!,"AAAAAE9P/v8=")</f>
        <v>#REF!</v>
      </c>
    </row>
    <row r="31" spans="1:256">
      <c r="A31" t="e">
        <f>AND(DATASORT!#REF!,"AAAAAHdP/gA=")</f>
        <v>#REF!</v>
      </c>
      <c r="B31" t="e">
        <f>AND(DATASORT!#REF!,"AAAAAHdP/gE=")</f>
        <v>#REF!</v>
      </c>
      <c r="C31" t="e">
        <f>AND(DATASORT!#REF!,"AAAAAHdP/gI=")</f>
        <v>#REF!</v>
      </c>
      <c r="D31" t="e">
        <f>AND(DATASORT!#REF!,"AAAAAHdP/gM=")</f>
        <v>#REF!</v>
      </c>
      <c r="E31" t="e">
        <f>AND(DATASORT!#REF!,"AAAAAHdP/gQ=")</f>
        <v>#REF!</v>
      </c>
      <c r="F31" t="e">
        <f>AND(DATASORT!#REF!,"AAAAAHdP/gU=")</f>
        <v>#REF!</v>
      </c>
      <c r="G31" t="e">
        <f>AND(DATASORT!#REF!,"AAAAAHdP/gY=")</f>
        <v>#REF!</v>
      </c>
      <c r="H31" t="e">
        <f>AND(DATASORT!#REF!,"AAAAAHdP/gc=")</f>
        <v>#REF!</v>
      </c>
      <c r="I31" t="e">
        <f>AND(DATASORT!#REF!,"AAAAAHdP/gg=")</f>
        <v>#REF!</v>
      </c>
      <c r="J31" t="e">
        <f>AND(DATASORT!#REF!,"AAAAAHdP/gk=")</f>
        <v>#REF!</v>
      </c>
      <c r="K31" t="e">
        <f>AND(DATASORT!#REF!,"AAAAAHdP/go=")</f>
        <v>#REF!</v>
      </c>
      <c r="L31" t="e">
        <f>AND(DATASORT!#REF!,"AAAAAHdP/gs=")</f>
        <v>#REF!</v>
      </c>
      <c r="M31" t="e">
        <f>AND(DATASORT!#REF!,"AAAAAHdP/gw=")</f>
        <v>#REF!</v>
      </c>
      <c r="N31" t="e">
        <f>AND(DATASORT!#REF!,"AAAAAHdP/g0=")</f>
        <v>#REF!</v>
      </c>
      <c r="O31" t="e">
        <f>AND(DATASORT!#REF!,"AAAAAHdP/g4=")</f>
        <v>#REF!</v>
      </c>
      <c r="P31" t="e">
        <f>AND(DATASORT!#REF!,"AAAAAHdP/g8=")</f>
        <v>#REF!</v>
      </c>
      <c r="Q31" t="e">
        <f>AND(DATASORT!#REF!,"AAAAAHdP/hA=")</f>
        <v>#REF!</v>
      </c>
      <c r="R31" t="e">
        <f>AND(DATASORT!#REF!,"AAAAAHdP/hE=")</f>
        <v>#REF!</v>
      </c>
      <c r="S31" t="e">
        <f>AND(DATASORT!#REF!,"AAAAAHdP/hI=")</f>
        <v>#REF!</v>
      </c>
      <c r="T31" t="e">
        <f>AND(DATASORT!#REF!,"AAAAAHdP/hM=")</f>
        <v>#REF!</v>
      </c>
      <c r="U31" t="e">
        <f>AND(DATASORT!#REF!,"AAAAAHdP/hQ=")</f>
        <v>#REF!</v>
      </c>
      <c r="V31" t="e">
        <f>AND(DATASORT!#REF!,"AAAAAHdP/hU=")</f>
        <v>#REF!</v>
      </c>
      <c r="W31" t="e">
        <f>AND(DATASORT!#REF!,"AAAAAHdP/hY=")</f>
        <v>#REF!</v>
      </c>
      <c r="X31" t="e">
        <f>AND(DATASORT!#REF!,"AAAAAHdP/hc=")</f>
        <v>#REF!</v>
      </c>
      <c r="Y31" t="e">
        <f>AND(DATASORT!#REF!,"AAAAAHdP/hg=")</f>
        <v>#REF!</v>
      </c>
      <c r="Z31" t="e">
        <f>AND(DATASORT!#REF!,"AAAAAHdP/hk=")</f>
        <v>#REF!</v>
      </c>
      <c r="AA31" t="e">
        <f>IF(DATASORT!#REF!,"AAAAAHdP/ho=",0)</f>
        <v>#REF!</v>
      </c>
      <c r="AB31" t="e">
        <f>AND(DATASORT!#REF!,"AAAAAHdP/hs=")</f>
        <v>#REF!</v>
      </c>
      <c r="AC31" t="e">
        <f>AND(DATASORT!#REF!,"AAAAAHdP/hw=")</f>
        <v>#REF!</v>
      </c>
      <c r="AD31" t="e">
        <f>AND(DATASORT!#REF!,"AAAAAHdP/h0=")</f>
        <v>#REF!</v>
      </c>
      <c r="AE31" t="e">
        <f>AND(DATASORT!#REF!,"AAAAAHdP/h4=")</f>
        <v>#REF!</v>
      </c>
      <c r="AF31" t="e">
        <f>AND(DATASORT!#REF!,"AAAAAHdP/h8=")</f>
        <v>#REF!</v>
      </c>
      <c r="AG31" t="e">
        <f>AND(DATASORT!#REF!,"AAAAAHdP/iA=")</f>
        <v>#REF!</v>
      </c>
      <c r="AH31" t="e">
        <f>AND(DATASORT!#REF!,"AAAAAHdP/iE=")</f>
        <v>#REF!</v>
      </c>
      <c r="AI31" t="e">
        <f>AND(DATASORT!#REF!,"AAAAAHdP/iI=")</f>
        <v>#REF!</v>
      </c>
      <c r="AJ31" t="e">
        <f>AND(DATASORT!#REF!,"AAAAAHdP/iM=")</f>
        <v>#REF!</v>
      </c>
      <c r="AK31" t="e">
        <f>AND(DATASORT!#REF!,"AAAAAHdP/iQ=")</f>
        <v>#REF!</v>
      </c>
      <c r="AL31" t="e">
        <f>AND(DATASORT!#REF!,"AAAAAHdP/iU=")</f>
        <v>#REF!</v>
      </c>
      <c r="AM31" t="e">
        <f>AND(DATASORT!#REF!,"AAAAAHdP/iY=")</f>
        <v>#REF!</v>
      </c>
      <c r="AN31" t="e">
        <f>AND(DATASORT!#REF!,"AAAAAHdP/ic=")</f>
        <v>#REF!</v>
      </c>
      <c r="AO31" t="e">
        <f>AND(DATASORT!#REF!,"AAAAAHdP/ig=")</f>
        <v>#REF!</v>
      </c>
      <c r="AP31" t="e">
        <f>AND(DATASORT!#REF!,"AAAAAHdP/ik=")</f>
        <v>#REF!</v>
      </c>
      <c r="AQ31" t="e">
        <f>AND(DATASORT!#REF!,"AAAAAHdP/io=")</f>
        <v>#REF!</v>
      </c>
      <c r="AR31" t="e">
        <f>AND(DATASORT!#REF!,"AAAAAHdP/is=")</f>
        <v>#REF!</v>
      </c>
      <c r="AS31" t="e">
        <f>AND(DATASORT!#REF!,"AAAAAHdP/iw=")</f>
        <v>#REF!</v>
      </c>
      <c r="AT31" t="e">
        <f>AND(DATASORT!#REF!,"AAAAAHdP/i0=")</f>
        <v>#REF!</v>
      </c>
      <c r="AU31" t="e">
        <f>AND(DATASORT!#REF!,"AAAAAHdP/i4=")</f>
        <v>#REF!</v>
      </c>
      <c r="AV31" t="e">
        <f>AND(DATASORT!#REF!,"AAAAAHdP/i8=")</f>
        <v>#REF!</v>
      </c>
      <c r="AW31" t="e">
        <f>AND(DATASORT!#REF!,"AAAAAHdP/jA=")</f>
        <v>#REF!</v>
      </c>
      <c r="AX31" t="e">
        <f>AND(DATASORT!#REF!,"AAAAAHdP/jE=")</f>
        <v>#REF!</v>
      </c>
      <c r="AY31" t="e">
        <f>AND(DATASORT!#REF!,"AAAAAHdP/jI=")</f>
        <v>#REF!</v>
      </c>
      <c r="AZ31" t="e">
        <f>AND(DATASORT!#REF!,"AAAAAHdP/jM=")</f>
        <v>#REF!</v>
      </c>
      <c r="BA31" t="e">
        <f>AND(DATASORT!#REF!,"AAAAAHdP/jQ=")</f>
        <v>#REF!</v>
      </c>
      <c r="BB31" t="e">
        <f>AND(DATASORT!#REF!,"AAAAAHdP/jU=")</f>
        <v>#REF!</v>
      </c>
      <c r="BC31" t="e">
        <f>IF(DATASORT!#REF!,"AAAAAHdP/jY=",0)</f>
        <v>#REF!</v>
      </c>
      <c r="BD31" t="e">
        <f>AND(DATASORT!#REF!,"AAAAAHdP/jc=")</f>
        <v>#REF!</v>
      </c>
      <c r="BE31" t="e">
        <f>AND(DATASORT!#REF!,"AAAAAHdP/jg=")</f>
        <v>#REF!</v>
      </c>
      <c r="BF31" t="e">
        <f>AND(DATASORT!#REF!,"AAAAAHdP/jk=")</f>
        <v>#REF!</v>
      </c>
      <c r="BG31" t="e">
        <f>AND(DATASORT!#REF!,"AAAAAHdP/jo=")</f>
        <v>#REF!</v>
      </c>
      <c r="BH31" t="e">
        <f>AND(DATASORT!#REF!,"AAAAAHdP/js=")</f>
        <v>#REF!</v>
      </c>
      <c r="BI31" t="e">
        <f>AND(DATASORT!#REF!,"AAAAAHdP/jw=")</f>
        <v>#REF!</v>
      </c>
      <c r="BJ31" t="e">
        <f>AND(DATASORT!#REF!,"AAAAAHdP/j0=")</f>
        <v>#REF!</v>
      </c>
      <c r="BK31" t="e">
        <f>AND(DATASORT!#REF!,"AAAAAHdP/j4=")</f>
        <v>#REF!</v>
      </c>
      <c r="BL31" t="e">
        <f>AND(DATASORT!#REF!,"AAAAAHdP/j8=")</f>
        <v>#REF!</v>
      </c>
      <c r="BM31" t="e">
        <f>AND(DATASORT!#REF!,"AAAAAHdP/kA=")</f>
        <v>#REF!</v>
      </c>
      <c r="BN31" t="e">
        <f>AND(DATASORT!#REF!,"AAAAAHdP/kE=")</f>
        <v>#REF!</v>
      </c>
      <c r="BO31" t="e">
        <f>AND(DATASORT!#REF!,"AAAAAHdP/kI=")</f>
        <v>#REF!</v>
      </c>
      <c r="BP31" t="e">
        <f>AND(DATASORT!#REF!,"AAAAAHdP/kM=")</f>
        <v>#REF!</v>
      </c>
      <c r="BQ31" t="e">
        <f>AND(DATASORT!#REF!,"AAAAAHdP/kQ=")</f>
        <v>#REF!</v>
      </c>
      <c r="BR31" t="e">
        <f>AND(DATASORT!#REF!,"AAAAAHdP/kU=")</f>
        <v>#REF!</v>
      </c>
      <c r="BS31" t="e">
        <f>AND(DATASORT!#REF!,"AAAAAHdP/kY=")</f>
        <v>#REF!</v>
      </c>
      <c r="BT31" t="e">
        <f>AND(DATASORT!#REF!,"AAAAAHdP/kc=")</f>
        <v>#REF!</v>
      </c>
      <c r="BU31" t="e">
        <f>AND(DATASORT!#REF!,"AAAAAHdP/kg=")</f>
        <v>#REF!</v>
      </c>
      <c r="BV31" t="e">
        <f>AND(DATASORT!#REF!,"AAAAAHdP/kk=")</f>
        <v>#REF!</v>
      </c>
      <c r="BW31" t="e">
        <f>AND(DATASORT!#REF!,"AAAAAHdP/ko=")</f>
        <v>#REF!</v>
      </c>
      <c r="BX31" t="e">
        <f>AND(DATASORT!#REF!,"AAAAAHdP/ks=")</f>
        <v>#REF!</v>
      </c>
      <c r="BY31" t="e">
        <f>AND(DATASORT!#REF!,"AAAAAHdP/kw=")</f>
        <v>#REF!</v>
      </c>
      <c r="BZ31" t="e">
        <f>AND(DATASORT!#REF!,"AAAAAHdP/k0=")</f>
        <v>#REF!</v>
      </c>
      <c r="CA31" t="e">
        <f>AND(DATASORT!#REF!,"AAAAAHdP/k4=")</f>
        <v>#REF!</v>
      </c>
      <c r="CB31" t="e">
        <f>AND(DATASORT!#REF!,"AAAAAHdP/k8=")</f>
        <v>#REF!</v>
      </c>
      <c r="CC31" t="e">
        <f>AND(DATASORT!#REF!,"AAAAAHdP/lA=")</f>
        <v>#REF!</v>
      </c>
      <c r="CD31" t="e">
        <f>AND(DATASORT!#REF!,"AAAAAHdP/lE=")</f>
        <v>#REF!</v>
      </c>
      <c r="CE31" t="e">
        <f>IF(DATASORT!#REF!,"AAAAAHdP/lI=",0)</f>
        <v>#REF!</v>
      </c>
      <c r="CF31" t="e">
        <f>AND(DATASORT!#REF!,"AAAAAHdP/lM=")</f>
        <v>#REF!</v>
      </c>
      <c r="CG31" t="e">
        <f>AND(DATASORT!#REF!,"AAAAAHdP/lQ=")</f>
        <v>#REF!</v>
      </c>
      <c r="CH31" t="e">
        <f>AND(DATASORT!#REF!,"AAAAAHdP/lU=")</f>
        <v>#REF!</v>
      </c>
      <c r="CI31" t="e">
        <f>AND(DATASORT!#REF!,"AAAAAHdP/lY=")</f>
        <v>#REF!</v>
      </c>
      <c r="CJ31" t="e">
        <f>AND(DATASORT!#REF!,"AAAAAHdP/lc=")</f>
        <v>#REF!</v>
      </c>
      <c r="CK31" t="e">
        <f>AND(DATASORT!#REF!,"AAAAAHdP/lg=")</f>
        <v>#REF!</v>
      </c>
      <c r="CL31" t="e">
        <f>AND(DATASORT!#REF!,"AAAAAHdP/lk=")</f>
        <v>#REF!</v>
      </c>
      <c r="CM31" t="e">
        <f>AND(DATASORT!#REF!,"AAAAAHdP/lo=")</f>
        <v>#REF!</v>
      </c>
      <c r="CN31" t="e">
        <f>AND(DATASORT!#REF!,"AAAAAHdP/ls=")</f>
        <v>#REF!</v>
      </c>
      <c r="CO31" t="e">
        <f>AND(DATASORT!#REF!,"AAAAAHdP/lw=")</f>
        <v>#REF!</v>
      </c>
      <c r="CP31" t="e">
        <f>AND(DATASORT!#REF!,"AAAAAHdP/l0=")</f>
        <v>#REF!</v>
      </c>
      <c r="CQ31" t="e">
        <f>AND(DATASORT!#REF!,"AAAAAHdP/l4=")</f>
        <v>#REF!</v>
      </c>
      <c r="CR31" t="e">
        <f>AND(DATASORT!#REF!,"AAAAAHdP/l8=")</f>
        <v>#REF!</v>
      </c>
      <c r="CS31" t="e">
        <f>AND(DATASORT!#REF!,"AAAAAHdP/mA=")</f>
        <v>#REF!</v>
      </c>
      <c r="CT31" t="e">
        <f>AND(DATASORT!#REF!,"AAAAAHdP/mE=")</f>
        <v>#REF!</v>
      </c>
      <c r="CU31" t="e">
        <f>AND(DATASORT!#REF!,"AAAAAHdP/mI=")</f>
        <v>#REF!</v>
      </c>
      <c r="CV31" t="e">
        <f>AND(DATASORT!#REF!,"AAAAAHdP/mM=")</f>
        <v>#REF!</v>
      </c>
      <c r="CW31" t="e">
        <f>AND(DATASORT!#REF!,"AAAAAHdP/mQ=")</f>
        <v>#REF!</v>
      </c>
      <c r="CX31" t="e">
        <f>AND(DATASORT!#REF!,"AAAAAHdP/mU=")</f>
        <v>#REF!</v>
      </c>
      <c r="CY31" t="e">
        <f>AND(DATASORT!#REF!,"AAAAAHdP/mY=")</f>
        <v>#REF!</v>
      </c>
      <c r="CZ31" t="e">
        <f>AND(DATASORT!#REF!,"AAAAAHdP/mc=")</f>
        <v>#REF!</v>
      </c>
      <c r="DA31" t="e">
        <f>AND(DATASORT!#REF!,"AAAAAHdP/mg=")</f>
        <v>#REF!</v>
      </c>
      <c r="DB31" t="e">
        <f>AND(DATASORT!#REF!,"AAAAAHdP/mk=")</f>
        <v>#REF!</v>
      </c>
      <c r="DC31" t="e">
        <f>AND(DATASORT!#REF!,"AAAAAHdP/mo=")</f>
        <v>#REF!</v>
      </c>
      <c r="DD31" t="e">
        <f>AND(DATASORT!#REF!,"AAAAAHdP/ms=")</f>
        <v>#REF!</v>
      </c>
      <c r="DE31" t="e">
        <f>AND(DATASORT!#REF!,"AAAAAHdP/mw=")</f>
        <v>#REF!</v>
      </c>
      <c r="DF31" t="e">
        <f>AND(DATASORT!#REF!,"AAAAAHdP/m0=")</f>
        <v>#REF!</v>
      </c>
      <c r="DG31" t="e">
        <f>IF(DATASORT!#REF!,"AAAAAHdP/m4=",0)</f>
        <v>#REF!</v>
      </c>
      <c r="DH31" t="e">
        <f>AND(DATASORT!#REF!,"AAAAAHdP/m8=")</f>
        <v>#REF!</v>
      </c>
      <c r="DI31" t="e">
        <f>AND(DATASORT!#REF!,"AAAAAHdP/nA=")</f>
        <v>#REF!</v>
      </c>
      <c r="DJ31" t="e">
        <f>AND(DATASORT!#REF!,"AAAAAHdP/nE=")</f>
        <v>#REF!</v>
      </c>
      <c r="DK31" t="e">
        <f>AND(DATASORT!#REF!,"AAAAAHdP/nI=")</f>
        <v>#REF!</v>
      </c>
      <c r="DL31" t="e">
        <f>AND(DATASORT!#REF!,"AAAAAHdP/nM=")</f>
        <v>#REF!</v>
      </c>
      <c r="DM31" t="e">
        <f>AND(DATASORT!#REF!,"AAAAAHdP/nQ=")</f>
        <v>#REF!</v>
      </c>
      <c r="DN31" t="e">
        <f>AND(DATASORT!#REF!,"AAAAAHdP/nU=")</f>
        <v>#REF!</v>
      </c>
      <c r="DO31" t="e">
        <f>AND(DATASORT!#REF!,"AAAAAHdP/nY=")</f>
        <v>#REF!</v>
      </c>
      <c r="DP31" t="e">
        <f>AND(DATASORT!#REF!,"AAAAAHdP/nc=")</f>
        <v>#REF!</v>
      </c>
      <c r="DQ31" t="e">
        <f>AND(DATASORT!#REF!,"AAAAAHdP/ng=")</f>
        <v>#REF!</v>
      </c>
      <c r="DR31" t="e">
        <f>AND(DATASORT!#REF!,"AAAAAHdP/nk=")</f>
        <v>#REF!</v>
      </c>
      <c r="DS31" t="e">
        <f>AND(DATASORT!#REF!,"AAAAAHdP/no=")</f>
        <v>#REF!</v>
      </c>
      <c r="DT31" t="e">
        <f>AND(DATASORT!#REF!,"AAAAAHdP/ns=")</f>
        <v>#REF!</v>
      </c>
      <c r="DU31" t="e">
        <f>AND(DATASORT!#REF!,"AAAAAHdP/nw=")</f>
        <v>#REF!</v>
      </c>
      <c r="DV31" t="e">
        <f>AND(DATASORT!#REF!,"AAAAAHdP/n0=")</f>
        <v>#REF!</v>
      </c>
      <c r="DW31" t="e">
        <f>AND(DATASORT!#REF!,"AAAAAHdP/n4=")</f>
        <v>#REF!</v>
      </c>
      <c r="DX31" t="e">
        <f>AND(DATASORT!#REF!,"AAAAAHdP/n8=")</f>
        <v>#REF!</v>
      </c>
      <c r="DY31" t="e">
        <f>AND(DATASORT!#REF!,"AAAAAHdP/oA=")</f>
        <v>#REF!</v>
      </c>
      <c r="DZ31" t="e">
        <f>AND(DATASORT!#REF!,"AAAAAHdP/oE=")</f>
        <v>#REF!</v>
      </c>
      <c r="EA31" t="e">
        <f>AND(DATASORT!#REF!,"AAAAAHdP/oI=")</f>
        <v>#REF!</v>
      </c>
      <c r="EB31" t="e">
        <f>AND(DATASORT!#REF!,"AAAAAHdP/oM=")</f>
        <v>#REF!</v>
      </c>
      <c r="EC31" t="e">
        <f>AND(DATASORT!#REF!,"AAAAAHdP/oQ=")</f>
        <v>#REF!</v>
      </c>
      <c r="ED31" t="e">
        <f>AND(DATASORT!#REF!,"AAAAAHdP/oU=")</f>
        <v>#REF!</v>
      </c>
      <c r="EE31" t="e">
        <f>AND(DATASORT!#REF!,"AAAAAHdP/oY=")</f>
        <v>#REF!</v>
      </c>
      <c r="EF31" t="e">
        <f>AND(DATASORT!#REF!,"AAAAAHdP/oc=")</f>
        <v>#REF!</v>
      </c>
      <c r="EG31" t="e">
        <f>AND(DATASORT!#REF!,"AAAAAHdP/og=")</f>
        <v>#REF!</v>
      </c>
      <c r="EH31" t="e">
        <f>AND(DATASORT!#REF!,"AAAAAHdP/ok=")</f>
        <v>#REF!</v>
      </c>
      <c r="EI31" t="e">
        <f>IF(DATASORT!#REF!,"AAAAAHdP/oo=",0)</f>
        <v>#REF!</v>
      </c>
      <c r="EJ31" t="e">
        <f>AND(DATASORT!#REF!,"AAAAAHdP/os=")</f>
        <v>#REF!</v>
      </c>
      <c r="EK31" t="e">
        <f>AND(DATASORT!#REF!,"AAAAAHdP/ow=")</f>
        <v>#REF!</v>
      </c>
      <c r="EL31" t="e">
        <f>AND(DATASORT!#REF!,"AAAAAHdP/o0=")</f>
        <v>#REF!</v>
      </c>
      <c r="EM31" t="e">
        <f>AND(DATASORT!#REF!,"AAAAAHdP/o4=")</f>
        <v>#REF!</v>
      </c>
      <c r="EN31" t="e">
        <f>AND(DATASORT!#REF!,"AAAAAHdP/o8=")</f>
        <v>#REF!</v>
      </c>
      <c r="EO31" t="e">
        <f>AND(DATASORT!#REF!,"AAAAAHdP/pA=")</f>
        <v>#REF!</v>
      </c>
      <c r="EP31" t="e">
        <f>AND(DATASORT!#REF!,"AAAAAHdP/pE=")</f>
        <v>#REF!</v>
      </c>
      <c r="EQ31" t="e">
        <f>AND(DATASORT!#REF!,"AAAAAHdP/pI=")</f>
        <v>#REF!</v>
      </c>
      <c r="ER31" t="e">
        <f>AND(DATASORT!#REF!,"AAAAAHdP/pM=")</f>
        <v>#REF!</v>
      </c>
      <c r="ES31" t="e">
        <f>AND(DATASORT!#REF!,"AAAAAHdP/pQ=")</f>
        <v>#REF!</v>
      </c>
      <c r="ET31" t="e">
        <f>AND(DATASORT!#REF!,"AAAAAHdP/pU=")</f>
        <v>#REF!</v>
      </c>
      <c r="EU31" t="e">
        <f>AND(DATASORT!#REF!,"AAAAAHdP/pY=")</f>
        <v>#REF!</v>
      </c>
      <c r="EV31" t="e">
        <f>AND(DATASORT!#REF!,"AAAAAHdP/pc=")</f>
        <v>#REF!</v>
      </c>
      <c r="EW31" t="e">
        <f>AND(DATASORT!#REF!,"AAAAAHdP/pg=")</f>
        <v>#REF!</v>
      </c>
      <c r="EX31" t="e">
        <f>AND(DATASORT!#REF!,"AAAAAHdP/pk=")</f>
        <v>#REF!</v>
      </c>
      <c r="EY31" t="e">
        <f>AND(DATASORT!#REF!,"AAAAAHdP/po=")</f>
        <v>#REF!</v>
      </c>
      <c r="EZ31" t="e">
        <f>AND(DATASORT!#REF!,"AAAAAHdP/ps=")</f>
        <v>#REF!</v>
      </c>
      <c r="FA31" t="e">
        <f>AND(DATASORT!#REF!,"AAAAAHdP/pw=")</f>
        <v>#REF!</v>
      </c>
      <c r="FB31" t="e">
        <f>AND(DATASORT!#REF!,"AAAAAHdP/p0=")</f>
        <v>#REF!</v>
      </c>
      <c r="FC31" t="e">
        <f>AND(DATASORT!#REF!,"AAAAAHdP/p4=")</f>
        <v>#REF!</v>
      </c>
      <c r="FD31" t="e">
        <f>AND(DATASORT!#REF!,"AAAAAHdP/p8=")</f>
        <v>#REF!</v>
      </c>
      <c r="FE31" t="e">
        <f>AND(DATASORT!#REF!,"AAAAAHdP/qA=")</f>
        <v>#REF!</v>
      </c>
      <c r="FF31" t="e">
        <f>AND(DATASORT!#REF!,"AAAAAHdP/qE=")</f>
        <v>#REF!</v>
      </c>
      <c r="FG31" t="e">
        <f>AND(DATASORT!#REF!,"AAAAAHdP/qI=")</f>
        <v>#REF!</v>
      </c>
      <c r="FH31" t="e">
        <f>AND(DATASORT!#REF!,"AAAAAHdP/qM=")</f>
        <v>#REF!</v>
      </c>
      <c r="FI31" t="e">
        <f>AND(DATASORT!#REF!,"AAAAAHdP/qQ=")</f>
        <v>#REF!</v>
      </c>
      <c r="FJ31" t="e">
        <f>AND(DATASORT!#REF!,"AAAAAHdP/qU=")</f>
        <v>#REF!</v>
      </c>
      <c r="FK31" t="e">
        <f>IF(DATASORT!#REF!,"AAAAAHdP/qY=",0)</f>
        <v>#REF!</v>
      </c>
      <c r="FL31" t="e">
        <f>AND(DATASORT!#REF!,"AAAAAHdP/qc=")</f>
        <v>#REF!</v>
      </c>
      <c r="FM31" t="e">
        <f>AND(DATASORT!#REF!,"AAAAAHdP/qg=")</f>
        <v>#REF!</v>
      </c>
      <c r="FN31" t="e">
        <f>AND(DATASORT!#REF!,"AAAAAHdP/qk=")</f>
        <v>#REF!</v>
      </c>
      <c r="FO31" t="e">
        <f>AND(DATASORT!#REF!,"AAAAAHdP/qo=")</f>
        <v>#REF!</v>
      </c>
      <c r="FP31" t="e">
        <f>AND(DATASORT!#REF!,"AAAAAHdP/qs=")</f>
        <v>#REF!</v>
      </c>
      <c r="FQ31" t="e">
        <f>AND(DATASORT!#REF!,"AAAAAHdP/qw=")</f>
        <v>#REF!</v>
      </c>
      <c r="FR31" t="e">
        <f>AND(DATASORT!#REF!,"AAAAAHdP/q0=")</f>
        <v>#REF!</v>
      </c>
      <c r="FS31" t="e">
        <f>AND(DATASORT!#REF!,"AAAAAHdP/q4=")</f>
        <v>#REF!</v>
      </c>
      <c r="FT31" t="e">
        <f>AND(DATASORT!#REF!,"AAAAAHdP/q8=")</f>
        <v>#REF!</v>
      </c>
      <c r="FU31" t="e">
        <f>AND(DATASORT!#REF!,"AAAAAHdP/rA=")</f>
        <v>#REF!</v>
      </c>
      <c r="FV31" t="e">
        <f>AND(DATASORT!#REF!,"AAAAAHdP/rE=")</f>
        <v>#REF!</v>
      </c>
      <c r="FW31" t="e">
        <f>AND(DATASORT!#REF!,"AAAAAHdP/rI=")</f>
        <v>#REF!</v>
      </c>
      <c r="FX31" t="e">
        <f>AND(DATASORT!#REF!,"AAAAAHdP/rM=")</f>
        <v>#REF!</v>
      </c>
      <c r="FY31" t="e">
        <f>AND(DATASORT!#REF!,"AAAAAHdP/rQ=")</f>
        <v>#REF!</v>
      </c>
      <c r="FZ31" t="e">
        <f>AND(DATASORT!#REF!,"AAAAAHdP/rU=")</f>
        <v>#REF!</v>
      </c>
      <c r="GA31" t="e">
        <f>AND(DATASORT!#REF!,"AAAAAHdP/rY=")</f>
        <v>#REF!</v>
      </c>
      <c r="GB31" t="e">
        <f>AND(DATASORT!#REF!,"AAAAAHdP/rc=")</f>
        <v>#REF!</v>
      </c>
      <c r="GC31" t="e">
        <f>AND(DATASORT!#REF!,"AAAAAHdP/rg=")</f>
        <v>#REF!</v>
      </c>
      <c r="GD31" t="e">
        <f>AND(DATASORT!#REF!,"AAAAAHdP/rk=")</f>
        <v>#REF!</v>
      </c>
      <c r="GE31" t="e">
        <f>AND(DATASORT!#REF!,"AAAAAHdP/ro=")</f>
        <v>#REF!</v>
      </c>
      <c r="GF31" t="e">
        <f>AND(DATASORT!#REF!,"AAAAAHdP/rs=")</f>
        <v>#REF!</v>
      </c>
      <c r="GG31" t="e">
        <f>AND(DATASORT!#REF!,"AAAAAHdP/rw=")</f>
        <v>#REF!</v>
      </c>
      <c r="GH31" t="e">
        <f>AND(DATASORT!#REF!,"AAAAAHdP/r0=")</f>
        <v>#REF!</v>
      </c>
      <c r="GI31" t="e">
        <f>AND(DATASORT!#REF!,"AAAAAHdP/r4=")</f>
        <v>#REF!</v>
      </c>
      <c r="GJ31" t="e">
        <f>AND(DATASORT!#REF!,"AAAAAHdP/r8=")</f>
        <v>#REF!</v>
      </c>
      <c r="GK31" t="e">
        <f>AND(DATASORT!#REF!,"AAAAAHdP/sA=")</f>
        <v>#REF!</v>
      </c>
      <c r="GL31" t="e">
        <f>AND(DATASORT!#REF!,"AAAAAHdP/sE=")</f>
        <v>#REF!</v>
      </c>
      <c r="GM31" t="e">
        <f>IF(DATASORT!#REF!,"AAAAAHdP/sI=",0)</f>
        <v>#REF!</v>
      </c>
      <c r="GN31" t="e">
        <f>AND(DATASORT!#REF!,"AAAAAHdP/sM=")</f>
        <v>#REF!</v>
      </c>
      <c r="GO31" t="e">
        <f>AND(DATASORT!#REF!,"AAAAAHdP/sQ=")</f>
        <v>#REF!</v>
      </c>
      <c r="GP31" t="e">
        <f>AND(DATASORT!#REF!,"AAAAAHdP/sU=")</f>
        <v>#REF!</v>
      </c>
      <c r="GQ31" t="e">
        <f>AND(DATASORT!#REF!,"AAAAAHdP/sY=")</f>
        <v>#REF!</v>
      </c>
      <c r="GR31" t="e">
        <f>AND(DATASORT!#REF!,"AAAAAHdP/sc=")</f>
        <v>#REF!</v>
      </c>
      <c r="GS31" t="e">
        <f>AND(DATASORT!#REF!,"AAAAAHdP/sg=")</f>
        <v>#REF!</v>
      </c>
      <c r="GT31" t="e">
        <f>AND(DATASORT!#REF!,"AAAAAHdP/sk=")</f>
        <v>#REF!</v>
      </c>
      <c r="GU31" t="e">
        <f>AND(DATASORT!#REF!,"AAAAAHdP/so=")</f>
        <v>#REF!</v>
      </c>
      <c r="GV31" t="e">
        <f>AND(DATASORT!#REF!,"AAAAAHdP/ss=")</f>
        <v>#REF!</v>
      </c>
      <c r="GW31" t="e">
        <f>AND(DATASORT!#REF!,"AAAAAHdP/sw=")</f>
        <v>#REF!</v>
      </c>
      <c r="GX31" t="e">
        <f>AND(DATASORT!#REF!,"AAAAAHdP/s0=")</f>
        <v>#REF!</v>
      </c>
      <c r="GY31" t="e">
        <f>AND(DATASORT!#REF!,"AAAAAHdP/s4=")</f>
        <v>#REF!</v>
      </c>
      <c r="GZ31" t="e">
        <f>AND(DATASORT!#REF!,"AAAAAHdP/s8=")</f>
        <v>#REF!</v>
      </c>
      <c r="HA31" t="e">
        <f>AND(DATASORT!#REF!,"AAAAAHdP/tA=")</f>
        <v>#REF!</v>
      </c>
      <c r="HB31" t="e">
        <f>AND(DATASORT!#REF!,"AAAAAHdP/tE=")</f>
        <v>#REF!</v>
      </c>
      <c r="HC31" t="e">
        <f>AND(DATASORT!#REF!,"AAAAAHdP/tI=")</f>
        <v>#REF!</v>
      </c>
      <c r="HD31" t="e">
        <f>AND(DATASORT!#REF!,"AAAAAHdP/tM=")</f>
        <v>#REF!</v>
      </c>
      <c r="HE31" t="e">
        <f>AND(DATASORT!#REF!,"AAAAAHdP/tQ=")</f>
        <v>#REF!</v>
      </c>
      <c r="HF31" t="e">
        <f>AND(DATASORT!#REF!,"AAAAAHdP/tU=")</f>
        <v>#REF!</v>
      </c>
      <c r="HG31" t="e">
        <f>AND(DATASORT!#REF!,"AAAAAHdP/tY=")</f>
        <v>#REF!</v>
      </c>
      <c r="HH31" t="e">
        <f>AND(DATASORT!#REF!,"AAAAAHdP/tc=")</f>
        <v>#REF!</v>
      </c>
      <c r="HI31" t="e">
        <f>AND(DATASORT!#REF!,"AAAAAHdP/tg=")</f>
        <v>#REF!</v>
      </c>
      <c r="HJ31" t="e">
        <f>AND(DATASORT!#REF!,"AAAAAHdP/tk=")</f>
        <v>#REF!</v>
      </c>
      <c r="HK31" t="e">
        <f>AND(DATASORT!#REF!,"AAAAAHdP/to=")</f>
        <v>#REF!</v>
      </c>
      <c r="HL31" t="e">
        <f>AND(DATASORT!#REF!,"AAAAAHdP/ts=")</f>
        <v>#REF!</v>
      </c>
      <c r="HM31" t="e">
        <f>AND(DATASORT!#REF!,"AAAAAHdP/tw=")</f>
        <v>#REF!</v>
      </c>
      <c r="HN31" t="e">
        <f>AND(DATASORT!#REF!,"AAAAAHdP/t0=")</f>
        <v>#REF!</v>
      </c>
      <c r="HO31" t="e">
        <f>IF(DATASORT!#REF!,"AAAAAHdP/t4=",0)</f>
        <v>#REF!</v>
      </c>
      <c r="HP31" t="e">
        <f>AND(DATASORT!#REF!,"AAAAAHdP/t8=")</f>
        <v>#REF!</v>
      </c>
      <c r="HQ31" t="e">
        <f>AND(DATASORT!#REF!,"AAAAAHdP/uA=")</f>
        <v>#REF!</v>
      </c>
      <c r="HR31" t="e">
        <f>AND(DATASORT!#REF!,"AAAAAHdP/uE=")</f>
        <v>#REF!</v>
      </c>
      <c r="HS31" t="e">
        <f>AND(DATASORT!#REF!,"AAAAAHdP/uI=")</f>
        <v>#REF!</v>
      </c>
      <c r="HT31" t="e">
        <f>AND(DATASORT!#REF!,"AAAAAHdP/uM=")</f>
        <v>#REF!</v>
      </c>
      <c r="HU31" t="e">
        <f>AND(DATASORT!#REF!,"AAAAAHdP/uQ=")</f>
        <v>#REF!</v>
      </c>
      <c r="HV31" t="e">
        <f>AND(DATASORT!#REF!,"AAAAAHdP/uU=")</f>
        <v>#REF!</v>
      </c>
      <c r="HW31" t="e">
        <f>AND(DATASORT!#REF!,"AAAAAHdP/uY=")</f>
        <v>#REF!</v>
      </c>
      <c r="HX31" t="e">
        <f>AND(DATASORT!#REF!,"AAAAAHdP/uc=")</f>
        <v>#REF!</v>
      </c>
      <c r="HY31" t="e">
        <f>AND(DATASORT!#REF!,"AAAAAHdP/ug=")</f>
        <v>#REF!</v>
      </c>
      <c r="HZ31" t="e">
        <f>AND(DATASORT!#REF!,"AAAAAHdP/uk=")</f>
        <v>#REF!</v>
      </c>
      <c r="IA31" t="e">
        <f>AND(DATASORT!#REF!,"AAAAAHdP/uo=")</f>
        <v>#REF!</v>
      </c>
      <c r="IB31" t="e">
        <f>AND(DATASORT!#REF!,"AAAAAHdP/us=")</f>
        <v>#REF!</v>
      </c>
      <c r="IC31" t="e">
        <f>AND(DATASORT!#REF!,"AAAAAHdP/uw=")</f>
        <v>#REF!</v>
      </c>
      <c r="ID31" t="e">
        <f>AND(DATASORT!#REF!,"AAAAAHdP/u0=")</f>
        <v>#REF!</v>
      </c>
      <c r="IE31" t="e">
        <f>AND(DATASORT!#REF!,"AAAAAHdP/u4=")</f>
        <v>#REF!</v>
      </c>
      <c r="IF31" t="e">
        <f>AND(DATASORT!#REF!,"AAAAAHdP/u8=")</f>
        <v>#REF!</v>
      </c>
      <c r="IG31" t="e">
        <f>AND(DATASORT!#REF!,"AAAAAHdP/vA=")</f>
        <v>#REF!</v>
      </c>
      <c r="IH31" t="e">
        <f>AND(DATASORT!#REF!,"AAAAAHdP/vE=")</f>
        <v>#REF!</v>
      </c>
      <c r="II31" t="e">
        <f>AND(DATASORT!#REF!,"AAAAAHdP/vI=")</f>
        <v>#REF!</v>
      </c>
      <c r="IJ31" t="e">
        <f>AND(DATASORT!#REF!,"AAAAAHdP/vM=")</f>
        <v>#REF!</v>
      </c>
      <c r="IK31" t="e">
        <f>AND(DATASORT!#REF!,"AAAAAHdP/vQ=")</f>
        <v>#REF!</v>
      </c>
      <c r="IL31" t="e">
        <f>AND(DATASORT!#REF!,"AAAAAHdP/vU=")</f>
        <v>#REF!</v>
      </c>
      <c r="IM31" t="e">
        <f>AND(DATASORT!#REF!,"AAAAAHdP/vY=")</f>
        <v>#REF!</v>
      </c>
      <c r="IN31" t="e">
        <f>AND(DATASORT!#REF!,"AAAAAHdP/vc=")</f>
        <v>#REF!</v>
      </c>
      <c r="IO31" t="e">
        <f>AND(DATASORT!#REF!,"AAAAAHdP/vg=")</f>
        <v>#REF!</v>
      </c>
      <c r="IP31" t="e">
        <f>AND(DATASORT!#REF!,"AAAAAHdP/vk=")</f>
        <v>#REF!</v>
      </c>
      <c r="IQ31" t="e">
        <f>IF(DATASORT!#REF!,"AAAAAHdP/vo=",0)</f>
        <v>#REF!</v>
      </c>
      <c r="IR31" t="e">
        <f>AND(DATASORT!#REF!,"AAAAAHdP/vs=")</f>
        <v>#REF!</v>
      </c>
      <c r="IS31" t="e">
        <f>AND(DATASORT!#REF!,"AAAAAHdP/vw=")</f>
        <v>#REF!</v>
      </c>
      <c r="IT31" t="e">
        <f>AND(DATASORT!#REF!,"AAAAAHdP/v0=")</f>
        <v>#REF!</v>
      </c>
      <c r="IU31" t="e">
        <f>AND(DATASORT!#REF!,"AAAAAHdP/v4=")</f>
        <v>#REF!</v>
      </c>
      <c r="IV31" t="e">
        <f>AND(DATASORT!#REF!,"AAAAAHdP/v8=")</f>
        <v>#REF!</v>
      </c>
    </row>
    <row r="32" spans="1:256">
      <c r="A32" t="e">
        <f>AND(DATASORT!#REF!,"AAAAAGz+/wA=")</f>
        <v>#REF!</v>
      </c>
      <c r="B32" t="e">
        <f>AND(DATASORT!#REF!,"AAAAAGz+/wE=")</f>
        <v>#REF!</v>
      </c>
      <c r="C32" t="e">
        <f>AND(DATASORT!#REF!,"AAAAAGz+/wI=")</f>
        <v>#REF!</v>
      </c>
      <c r="D32" t="e">
        <f>AND(DATASORT!#REF!,"AAAAAGz+/wM=")</f>
        <v>#REF!</v>
      </c>
      <c r="E32" t="e">
        <f>AND(DATASORT!#REF!,"AAAAAGz+/wQ=")</f>
        <v>#REF!</v>
      </c>
      <c r="F32" t="e">
        <f>AND(DATASORT!#REF!,"AAAAAGz+/wU=")</f>
        <v>#REF!</v>
      </c>
      <c r="G32" t="e">
        <f>AND(DATASORT!#REF!,"AAAAAGz+/wY=")</f>
        <v>#REF!</v>
      </c>
      <c r="H32" t="e">
        <f>AND(DATASORT!#REF!,"AAAAAGz+/wc=")</f>
        <v>#REF!</v>
      </c>
      <c r="I32" t="e">
        <f>AND(DATASORT!#REF!,"AAAAAGz+/wg=")</f>
        <v>#REF!</v>
      </c>
      <c r="J32" t="e">
        <f>AND(DATASORT!#REF!,"AAAAAGz+/wk=")</f>
        <v>#REF!</v>
      </c>
      <c r="K32" t="e">
        <f>AND(DATASORT!#REF!,"AAAAAGz+/wo=")</f>
        <v>#REF!</v>
      </c>
      <c r="L32" t="e">
        <f>AND(DATASORT!#REF!,"AAAAAGz+/ws=")</f>
        <v>#REF!</v>
      </c>
      <c r="M32" t="e">
        <f>AND(DATASORT!#REF!,"AAAAAGz+/ww=")</f>
        <v>#REF!</v>
      </c>
      <c r="N32" t="e">
        <f>AND(DATASORT!#REF!,"AAAAAGz+/w0=")</f>
        <v>#REF!</v>
      </c>
      <c r="O32" t="e">
        <f>AND(DATASORT!#REF!,"AAAAAGz+/w4=")</f>
        <v>#REF!</v>
      </c>
      <c r="P32" t="e">
        <f>AND(DATASORT!#REF!,"AAAAAGz+/w8=")</f>
        <v>#REF!</v>
      </c>
      <c r="Q32" t="e">
        <f>AND(DATASORT!#REF!,"AAAAAGz+/xA=")</f>
        <v>#REF!</v>
      </c>
      <c r="R32" t="e">
        <f>AND(DATASORT!#REF!,"AAAAAGz+/xE=")</f>
        <v>#REF!</v>
      </c>
      <c r="S32" t="e">
        <f>AND(DATASORT!#REF!,"AAAAAGz+/xI=")</f>
        <v>#REF!</v>
      </c>
      <c r="T32" t="e">
        <f>AND(DATASORT!#REF!,"AAAAAGz+/xM=")</f>
        <v>#REF!</v>
      </c>
      <c r="U32" t="e">
        <f>AND(DATASORT!#REF!,"AAAAAGz+/xQ=")</f>
        <v>#REF!</v>
      </c>
      <c r="V32" t="e">
        <f>AND(DATASORT!#REF!,"AAAAAGz+/xU=")</f>
        <v>#REF!</v>
      </c>
      <c r="W32" t="e">
        <f>IF(DATASORT!#REF!,"AAAAAGz+/xY=",0)</f>
        <v>#REF!</v>
      </c>
      <c r="X32" t="e">
        <f>AND(DATASORT!#REF!,"AAAAAGz+/xc=")</f>
        <v>#REF!</v>
      </c>
      <c r="Y32" t="e">
        <f>AND(DATASORT!#REF!,"AAAAAGz+/xg=")</f>
        <v>#REF!</v>
      </c>
      <c r="Z32" t="e">
        <f>AND(DATASORT!#REF!,"AAAAAGz+/xk=")</f>
        <v>#REF!</v>
      </c>
      <c r="AA32" t="e">
        <f>AND(DATASORT!#REF!,"AAAAAGz+/xo=")</f>
        <v>#REF!</v>
      </c>
      <c r="AB32" t="e">
        <f>AND(DATASORT!#REF!,"AAAAAGz+/xs=")</f>
        <v>#REF!</v>
      </c>
      <c r="AC32" t="e">
        <f>AND(DATASORT!#REF!,"AAAAAGz+/xw=")</f>
        <v>#REF!</v>
      </c>
      <c r="AD32" t="e">
        <f>AND(DATASORT!#REF!,"AAAAAGz+/x0=")</f>
        <v>#REF!</v>
      </c>
      <c r="AE32" t="e">
        <f>AND(DATASORT!#REF!,"AAAAAGz+/x4=")</f>
        <v>#REF!</v>
      </c>
      <c r="AF32" t="e">
        <f>AND(DATASORT!#REF!,"AAAAAGz+/x8=")</f>
        <v>#REF!</v>
      </c>
      <c r="AG32" t="e">
        <f>AND(DATASORT!#REF!,"AAAAAGz+/yA=")</f>
        <v>#REF!</v>
      </c>
      <c r="AH32" t="e">
        <f>AND(DATASORT!#REF!,"AAAAAGz+/yE=")</f>
        <v>#REF!</v>
      </c>
      <c r="AI32" t="e">
        <f>AND(DATASORT!#REF!,"AAAAAGz+/yI=")</f>
        <v>#REF!</v>
      </c>
      <c r="AJ32" t="e">
        <f>AND(DATASORT!#REF!,"AAAAAGz+/yM=")</f>
        <v>#REF!</v>
      </c>
      <c r="AK32" t="e">
        <f>AND(DATASORT!#REF!,"AAAAAGz+/yQ=")</f>
        <v>#REF!</v>
      </c>
      <c r="AL32" t="e">
        <f>AND(DATASORT!#REF!,"AAAAAGz+/yU=")</f>
        <v>#REF!</v>
      </c>
      <c r="AM32" t="e">
        <f>AND(DATASORT!#REF!,"AAAAAGz+/yY=")</f>
        <v>#REF!</v>
      </c>
      <c r="AN32" t="e">
        <f>AND(DATASORT!#REF!,"AAAAAGz+/yc=")</f>
        <v>#REF!</v>
      </c>
      <c r="AO32" t="e">
        <f>AND(DATASORT!#REF!,"AAAAAGz+/yg=")</f>
        <v>#REF!</v>
      </c>
      <c r="AP32" t="e">
        <f>AND(DATASORT!#REF!,"AAAAAGz+/yk=")</f>
        <v>#REF!</v>
      </c>
      <c r="AQ32" t="e">
        <f>AND(DATASORT!#REF!,"AAAAAGz+/yo=")</f>
        <v>#REF!</v>
      </c>
      <c r="AR32" t="e">
        <f>AND(DATASORT!#REF!,"AAAAAGz+/ys=")</f>
        <v>#REF!</v>
      </c>
      <c r="AS32" t="e">
        <f>AND(DATASORT!#REF!,"AAAAAGz+/yw=")</f>
        <v>#REF!</v>
      </c>
      <c r="AT32" t="e">
        <f>AND(DATASORT!#REF!,"AAAAAGz+/y0=")</f>
        <v>#REF!</v>
      </c>
      <c r="AU32" t="e">
        <f>AND(DATASORT!#REF!,"AAAAAGz+/y4=")</f>
        <v>#REF!</v>
      </c>
      <c r="AV32" t="e">
        <f>AND(DATASORT!#REF!,"AAAAAGz+/y8=")</f>
        <v>#REF!</v>
      </c>
      <c r="AW32" t="e">
        <f>AND(DATASORT!#REF!,"AAAAAGz+/zA=")</f>
        <v>#REF!</v>
      </c>
      <c r="AX32" t="e">
        <f>AND(DATASORT!#REF!,"AAAAAGz+/zE=")</f>
        <v>#REF!</v>
      </c>
      <c r="AY32" t="e">
        <f>IF(DATASORT!#REF!,"AAAAAGz+/zI=",0)</f>
        <v>#REF!</v>
      </c>
      <c r="AZ32" t="e">
        <f>AND(DATASORT!#REF!,"AAAAAGz+/zM=")</f>
        <v>#REF!</v>
      </c>
      <c r="BA32" t="e">
        <f>AND(DATASORT!#REF!,"AAAAAGz+/zQ=")</f>
        <v>#REF!</v>
      </c>
      <c r="BB32" t="e">
        <f>AND(DATASORT!#REF!,"AAAAAGz+/zU=")</f>
        <v>#REF!</v>
      </c>
      <c r="BC32" t="e">
        <f>AND(DATASORT!#REF!,"AAAAAGz+/zY=")</f>
        <v>#REF!</v>
      </c>
      <c r="BD32" t="e">
        <f>AND(DATASORT!#REF!,"AAAAAGz+/zc=")</f>
        <v>#REF!</v>
      </c>
      <c r="BE32" t="e">
        <f>AND(DATASORT!#REF!,"AAAAAGz+/zg=")</f>
        <v>#REF!</v>
      </c>
      <c r="BF32" t="e">
        <f>AND(DATASORT!#REF!,"AAAAAGz+/zk=")</f>
        <v>#REF!</v>
      </c>
      <c r="BG32" t="e">
        <f>AND(DATASORT!#REF!,"AAAAAGz+/zo=")</f>
        <v>#REF!</v>
      </c>
      <c r="BH32" t="e">
        <f>AND(DATASORT!#REF!,"AAAAAGz+/zs=")</f>
        <v>#REF!</v>
      </c>
      <c r="BI32" t="e">
        <f>AND(DATASORT!#REF!,"AAAAAGz+/zw=")</f>
        <v>#REF!</v>
      </c>
      <c r="BJ32" t="e">
        <f>AND(DATASORT!#REF!,"AAAAAGz+/z0=")</f>
        <v>#REF!</v>
      </c>
      <c r="BK32" t="e">
        <f>AND(DATASORT!#REF!,"AAAAAGz+/z4=")</f>
        <v>#REF!</v>
      </c>
      <c r="BL32" t="e">
        <f>AND(DATASORT!#REF!,"AAAAAGz+/z8=")</f>
        <v>#REF!</v>
      </c>
      <c r="BM32" t="e">
        <f>AND(DATASORT!#REF!,"AAAAAGz+/0A=")</f>
        <v>#REF!</v>
      </c>
      <c r="BN32" t="e">
        <f>AND(DATASORT!#REF!,"AAAAAGz+/0E=")</f>
        <v>#REF!</v>
      </c>
      <c r="BO32" t="e">
        <f>AND(DATASORT!#REF!,"AAAAAGz+/0I=")</f>
        <v>#REF!</v>
      </c>
      <c r="BP32" t="e">
        <f>AND(DATASORT!#REF!,"AAAAAGz+/0M=")</f>
        <v>#REF!</v>
      </c>
      <c r="BQ32" t="e">
        <f>AND(DATASORT!#REF!,"AAAAAGz+/0Q=")</f>
        <v>#REF!</v>
      </c>
      <c r="BR32" t="e">
        <f>AND(DATASORT!#REF!,"AAAAAGz+/0U=")</f>
        <v>#REF!</v>
      </c>
      <c r="BS32" t="e">
        <f>AND(DATASORT!#REF!,"AAAAAGz+/0Y=")</f>
        <v>#REF!</v>
      </c>
      <c r="BT32" t="e">
        <f>AND(DATASORT!#REF!,"AAAAAGz+/0c=")</f>
        <v>#REF!</v>
      </c>
      <c r="BU32" t="e">
        <f>AND(DATASORT!#REF!,"AAAAAGz+/0g=")</f>
        <v>#REF!</v>
      </c>
      <c r="BV32" t="e">
        <f>AND(DATASORT!#REF!,"AAAAAGz+/0k=")</f>
        <v>#REF!</v>
      </c>
      <c r="BW32" t="e">
        <f>AND(DATASORT!#REF!,"AAAAAGz+/0o=")</f>
        <v>#REF!</v>
      </c>
      <c r="BX32" t="e">
        <f>AND(DATASORT!#REF!,"AAAAAGz+/0s=")</f>
        <v>#REF!</v>
      </c>
      <c r="BY32" t="e">
        <f>AND(DATASORT!#REF!,"AAAAAGz+/0w=")</f>
        <v>#REF!</v>
      </c>
      <c r="BZ32" t="e">
        <f>AND(DATASORT!#REF!,"AAAAAGz+/00=")</f>
        <v>#REF!</v>
      </c>
      <c r="CA32" t="e">
        <f>IF(DATASORT!#REF!,"AAAAAGz+/04=",0)</f>
        <v>#REF!</v>
      </c>
      <c r="CB32" t="e">
        <f>AND(DATASORT!#REF!,"AAAAAGz+/08=")</f>
        <v>#REF!</v>
      </c>
      <c r="CC32" t="e">
        <f>AND(DATASORT!#REF!,"AAAAAGz+/1A=")</f>
        <v>#REF!</v>
      </c>
      <c r="CD32" t="e">
        <f>AND(DATASORT!#REF!,"AAAAAGz+/1E=")</f>
        <v>#REF!</v>
      </c>
      <c r="CE32" t="e">
        <f>AND(DATASORT!#REF!,"AAAAAGz+/1I=")</f>
        <v>#REF!</v>
      </c>
      <c r="CF32" t="e">
        <f>AND(DATASORT!#REF!,"AAAAAGz+/1M=")</f>
        <v>#REF!</v>
      </c>
      <c r="CG32" t="e">
        <f>AND(DATASORT!#REF!,"AAAAAGz+/1Q=")</f>
        <v>#REF!</v>
      </c>
      <c r="CH32" t="e">
        <f>AND(DATASORT!#REF!,"AAAAAGz+/1U=")</f>
        <v>#REF!</v>
      </c>
      <c r="CI32" t="e">
        <f>AND(DATASORT!#REF!,"AAAAAGz+/1Y=")</f>
        <v>#REF!</v>
      </c>
      <c r="CJ32" t="e">
        <f>AND(DATASORT!#REF!,"AAAAAGz+/1c=")</f>
        <v>#REF!</v>
      </c>
      <c r="CK32" t="e">
        <f>AND(DATASORT!#REF!,"AAAAAGz+/1g=")</f>
        <v>#REF!</v>
      </c>
      <c r="CL32" t="e">
        <f>AND(DATASORT!#REF!,"AAAAAGz+/1k=")</f>
        <v>#REF!</v>
      </c>
      <c r="CM32" t="e">
        <f>AND(DATASORT!#REF!,"AAAAAGz+/1o=")</f>
        <v>#REF!</v>
      </c>
      <c r="CN32" t="e">
        <f>AND(DATASORT!#REF!,"AAAAAGz+/1s=")</f>
        <v>#REF!</v>
      </c>
      <c r="CO32" t="e">
        <f>AND(DATASORT!#REF!,"AAAAAGz+/1w=")</f>
        <v>#REF!</v>
      </c>
      <c r="CP32" t="e">
        <f>AND(DATASORT!#REF!,"AAAAAGz+/10=")</f>
        <v>#REF!</v>
      </c>
      <c r="CQ32" t="e">
        <f>AND(DATASORT!#REF!,"AAAAAGz+/14=")</f>
        <v>#REF!</v>
      </c>
      <c r="CR32" t="e">
        <f>AND(DATASORT!#REF!,"AAAAAGz+/18=")</f>
        <v>#REF!</v>
      </c>
      <c r="CS32" t="e">
        <f>AND(DATASORT!#REF!,"AAAAAGz+/2A=")</f>
        <v>#REF!</v>
      </c>
      <c r="CT32" t="e">
        <f>AND(DATASORT!#REF!,"AAAAAGz+/2E=")</f>
        <v>#REF!</v>
      </c>
      <c r="CU32" t="e">
        <f>AND(DATASORT!#REF!,"AAAAAGz+/2I=")</f>
        <v>#REF!</v>
      </c>
      <c r="CV32" t="e">
        <f>AND(DATASORT!#REF!,"AAAAAGz+/2M=")</f>
        <v>#REF!</v>
      </c>
      <c r="CW32" t="e">
        <f>AND(DATASORT!#REF!,"AAAAAGz+/2Q=")</f>
        <v>#REF!</v>
      </c>
      <c r="CX32" t="e">
        <f>AND(DATASORT!#REF!,"AAAAAGz+/2U=")</f>
        <v>#REF!</v>
      </c>
      <c r="CY32" t="e">
        <f>AND(DATASORT!#REF!,"AAAAAGz+/2Y=")</f>
        <v>#REF!</v>
      </c>
      <c r="CZ32" t="e">
        <f>AND(DATASORT!#REF!,"AAAAAGz+/2c=")</f>
        <v>#REF!</v>
      </c>
      <c r="DA32" t="e">
        <f>AND(DATASORT!#REF!,"AAAAAGz+/2g=")</f>
        <v>#REF!</v>
      </c>
      <c r="DB32" t="e">
        <f>AND(DATASORT!#REF!,"AAAAAGz+/2k=")</f>
        <v>#REF!</v>
      </c>
      <c r="DC32" t="e">
        <f>IF(DATASORT!#REF!,"AAAAAGz+/2o=",0)</f>
        <v>#REF!</v>
      </c>
      <c r="DD32" t="e">
        <f>AND(DATASORT!#REF!,"AAAAAGz+/2s=")</f>
        <v>#REF!</v>
      </c>
      <c r="DE32" t="e">
        <f>AND(DATASORT!#REF!,"AAAAAGz+/2w=")</f>
        <v>#REF!</v>
      </c>
      <c r="DF32" t="e">
        <f>AND(DATASORT!#REF!,"AAAAAGz+/20=")</f>
        <v>#REF!</v>
      </c>
      <c r="DG32" t="e">
        <f>AND(DATASORT!#REF!,"AAAAAGz+/24=")</f>
        <v>#REF!</v>
      </c>
      <c r="DH32" t="e">
        <f>AND(DATASORT!#REF!,"AAAAAGz+/28=")</f>
        <v>#REF!</v>
      </c>
      <c r="DI32" t="e">
        <f>AND(DATASORT!#REF!,"AAAAAGz+/3A=")</f>
        <v>#REF!</v>
      </c>
      <c r="DJ32" t="e">
        <f>AND(DATASORT!#REF!,"AAAAAGz+/3E=")</f>
        <v>#REF!</v>
      </c>
      <c r="DK32" t="e">
        <f>AND(DATASORT!#REF!,"AAAAAGz+/3I=")</f>
        <v>#REF!</v>
      </c>
      <c r="DL32" t="e">
        <f>AND(DATASORT!#REF!,"AAAAAGz+/3M=")</f>
        <v>#REF!</v>
      </c>
      <c r="DM32" t="e">
        <f>AND(DATASORT!#REF!,"AAAAAGz+/3Q=")</f>
        <v>#REF!</v>
      </c>
      <c r="DN32" t="e">
        <f>AND(DATASORT!#REF!,"AAAAAGz+/3U=")</f>
        <v>#REF!</v>
      </c>
      <c r="DO32" t="e">
        <f>AND(DATASORT!#REF!,"AAAAAGz+/3Y=")</f>
        <v>#REF!</v>
      </c>
      <c r="DP32" t="e">
        <f>AND(DATASORT!#REF!,"AAAAAGz+/3c=")</f>
        <v>#REF!</v>
      </c>
      <c r="DQ32" t="e">
        <f>AND(DATASORT!#REF!,"AAAAAGz+/3g=")</f>
        <v>#REF!</v>
      </c>
      <c r="DR32" t="e">
        <f>AND(DATASORT!#REF!,"AAAAAGz+/3k=")</f>
        <v>#REF!</v>
      </c>
      <c r="DS32" t="e">
        <f>AND(DATASORT!#REF!,"AAAAAGz+/3o=")</f>
        <v>#REF!</v>
      </c>
      <c r="DT32" t="e">
        <f>AND(DATASORT!#REF!,"AAAAAGz+/3s=")</f>
        <v>#REF!</v>
      </c>
      <c r="DU32" t="e">
        <f>AND(DATASORT!#REF!,"AAAAAGz+/3w=")</f>
        <v>#REF!</v>
      </c>
      <c r="DV32" t="e">
        <f>AND(DATASORT!#REF!,"AAAAAGz+/30=")</f>
        <v>#REF!</v>
      </c>
      <c r="DW32" t="e">
        <f>AND(DATASORT!#REF!,"AAAAAGz+/34=")</f>
        <v>#REF!</v>
      </c>
      <c r="DX32" t="e">
        <f>AND(DATASORT!#REF!,"AAAAAGz+/38=")</f>
        <v>#REF!</v>
      </c>
      <c r="DY32" t="e">
        <f>AND(DATASORT!#REF!,"AAAAAGz+/4A=")</f>
        <v>#REF!</v>
      </c>
      <c r="DZ32" t="e">
        <f>AND(DATASORT!#REF!,"AAAAAGz+/4E=")</f>
        <v>#REF!</v>
      </c>
      <c r="EA32" t="e">
        <f>AND(DATASORT!#REF!,"AAAAAGz+/4I=")</f>
        <v>#REF!</v>
      </c>
      <c r="EB32" t="e">
        <f>AND(DATASORT!#REF!,"AAAAAGz+/4M=")</f>
        <v>#REF!</v>
      </c>
      <c r="EC32" t="e">
        <f>AND(DATASORT!#REF!,"AAAAAGz+/4Q=")</f>
        <v>#REF!</v>
      </c>
      <c r="ED32" t="e">
        <f>AND(DATASORT!#REF!,"AAAAAGz+/4U=")</f>
        <v>#REF!</v>
      </c>
      <c r="EE32" t="e">
        <f>IF(DATASORT!#REF!,"AAAAAGz+/4Y=",0)</f>
        <v>#REF!</v>
      </c>
      <c r="EF32" t="e">
        <f>AND(DATASORT!#REF!,"AAAAAGz+/4c=")</f>
        <v>#REF!</v>
      </c>
      <c r="EG32" t="e">
        <f>AND(DATASORT!#REF!,"AAAAAGz+/4g=")</f>
        <v>#REF!</v>
      </c>
      <c r="EH32" t="e">
        <f>AND(DATASORT!#REF!,"AAAAAGz+/4k=")</f>
        <v>#REF!</v>
      </c>
      <c r="EI32" t="e">
        <f>AND(DATASORT!#REF!,"AAAAAGz+/4o=")</f>
        <v>#REF!</v>
      </c>
      <c r="EJ32" t="e">
        <f>AND(DATASORT!#REF!,"AAAAAGz+/4s=")</f>
        <v>#REF!</v>
      </c>
      <c r="EK32" t="e">
        <f>AND(DATASORT!#REF!,"AAAAAGz+/4w=")</f>
        <v>#REF!</v>
      </c>
      <c r="EL32" t="e">
        <f>AND(DATASORT!#REF!,"AAAAAGz+/40=")</f>
        <v>#REF!</v>
      </c>
      <c r="EM32" t="e">
        <f>AND(DATASORT!#REF!,"AAAAAGz+/44=")</f>
        <v>#REF!</v>
      </c>
      <c r="EN32" t="e">
        <f>AND(DATASORT!#REF!,"AAAAAGz+/48=")</f>
        <v>#REF!</v>
      </c>
      <c r="EO32" t="e">
        <f>AND(DATASORT!#REF!,"AAAAAGz+/5A=")</f>
        <v>#REF!</v>
      </c>
      <c r="EP32" t="e">
        <f>AND(DATASORT!#REF!,"AAAAAGz+/5E=")</f>
        <v>#REF!</v>
      </c>
      <c r="EQ32" t="e">
        <f>AND(DATASORT!#REF!,"AAAAAGz+/5I=")</f>
        <v>#REF!</v>
      </c>
      <c r="ER32" t="e">
        <f>AND(DATASORT!#REF!,"AAAAAGz+/5M=")</f>
        <v>#REF!</v>
      </c>
      <c r="ES32" t="e">
        <f>AND(DATASORT!#REF!,"AAAAAGz+/5Q=")</f>
        <v>#REF!</v>
      </c>
      <c r="ET32" t="e">
        <f>AND(DATASORT!#REF!,"AAAAAGz+/5U=")</f>
        <v>#REF!</v>
      </c>
      <c r="EU32" t="e">
        <f>AND(DATASORT!#REF!,"AAAAAGz+/5Y=")</f>
        <v>#REF!</v>
      </c>
      <c r="EV32" t="e">
        <f>AND(DATASORT!#REF!,"AAAAAGz+/5c=")</f>
        <v>#REF!</v>
      </c>
      <c r="EW32" t="e">
        <f>AND(DATASORT!#REF!,"AAAAAGz+/5g=")</f>
        <v>#REF!</v>
      </c>
      <c r="EX32" t="e">
        <f>AND(DATASORT!#REF!,"AAAAAGz+/5k=")</f>
        <v>#REF!</v>
      </c>
      <c r="EY32" t="e">
        <f>AND(DATASORT!#REF!,"AAAAAGz+/5o=")</f>
        <v>#REF!</v>
      </c>
      <c r="EZ32" t="e">
        <f>AND(DATASORT!#REF!,"AAAAAGz+/5s=")</f>
        <v>#REF!</v>
      </c>
      <c r="FA32" t="e">
        <f>AND(DATASORT!#REF!,"AAAAAGz+/5w=")</f>
        <v>#REF!</v>
      </c>
      <c r="FB32" t="e">
        <f>AND(DATASORT!#REF!,"AAAAAGz+/50=")</f>
        <v>#REF!</v>
      </c>
      <c r="FC32" t="e">
        <f>AND(DATASORT!#REF!,"AAAAAGz+/54=")</f>
        <v>#REF!</v>
      </c>
      <c r="FD32" t="e">
        <f>AND(DATASORT!#REF!,"AAAAAGz+/58=")</f>
        <v>#REF!</v>
      </c>
      <c r="FE32" t="e">
        <f>AND(DATASORT!#REF!,"AAAAAGz+/6A=")</f>
        <v>#REF!</v>
      </c>
      <c r="FF32" t="e">
        <f>AND(DATASORT!#REF!,"AAAAAGz+/6E=")</f>
        <v>#REF!</v>
      </c>
      <c r="FG32" t="e">
        <f>IF(DATASORT!#REF!,"AAAAAGz+/6I=",0)</f>
        <v>#REF!</v>
      </c>
      <c r="FH32" t="e">
        <f>AND(DATASORT!#REF!,"AAAAAGz+/6M=")</f>
        <v>#REF!</v>
      </c>
      <c r="FI32" t="e">
        <f>AND(DATASORT!#REF!,"AAAAAGz+/6Q=")</f>
        <v>#REF!</v>
      </c>
      <c r="FJ32" t="e">
        <f>AND(DATASORT!#REF!,"AAAAAGz+/6U=")</f>
        <v>#REF!</v>
      </c>
      <c r="FK32" t="e">
        <f>AND(DATASORT!#REF!,"AAAAAGz+/6Y=")</f>
        <v>#REF!</v>
      </c>
      <c r="FL32" t="e">
        <f>AND(DATASORT!#REF!,"AAAAAGz+/6c=")</f>
        <v>#REF!</v>
      </c>
      <c r="FM32" t="e">
        <f>AND(DATASORT!#REF!,"AAAAAGz+/6g=")</f>
        <v>#REF!</v>
      </c>
      <c r="FN32" t="e">
        <f>AND(DATASORT!#REF!,"AAAAAGz+/6k=")</f>
        <v>#REF!</v>
      </c>
      <c r="FO32" t="e">
        <f>AND(DATASORT!#REF!,"AAAAAGz+/6o=")</f>
        <v>#REF!</v>
      </c>
      <c r="FP32" t="e">
        <f>AND(DATASORT!#REF!,"AAAAAGz+/6s=")</f>
        <v>#REF!</v>
      </c>
      <c r="FQ32" t="e">
        <f>AND(DATASORT!#REF!,"AAAAAGz+/6w=")</f>
        <v>#REF!</v>
      </c>
      <c r="FR32" t="e">
        <f>AND(DATASORT!#REF!,"AAAAAGz+/60=")</f>
        <v>#REF!</v>
      </c>
      <c r="FS32" t="e">
        <f>AND(DATASORT!#REF!,"AAAAAGz+/64=")</f>
        <v>#REF!</v>
      </c>
      <c r="FT32" t="e">
        <f>AND(DATASORT!#REF!,"AAAAAGz+/68=")</f>
        <v>#REF!</v>
      </c>
      <c r="FU32" t="e">
        <f>AND(DATASORT!#REF!,"AAAAAGz+/7A=")</f>
        <v>#REF!</v>
      </c>
      <c r="FV32" t="e">
        <f>AND(DATASORT!#REF!,"AAAAAGz+/7E=")</f>
        <v>#REF!</v>
      </c>
      <c r="FW32" t="e">
        <f>AND(DATASORT!#REF!,"AAAAAGz+/7I=")</f>
        <v>#REF!</v>
      </c>
      <c r="FX32" t="e">
        <f>AND(DATASORT!#REF!,"AAAAAGz+/7M=")</f>
        <v>#REF!</v>
      </c>
      <c r="FY32" t="e">
        <f>AND(DATASORT!#REF!,"AAAAAGz+/7Q=")</f>
        <v>#REF!</v>
      </c>
      <c r="FZ32" t="e">
        <f>AND(DATASORT!#REF!,"AAAAAGz+/7U=")</f>
        <v>#REF!</v>
      </c>
      <c r="GA32" t="e">
        <f>AND(DATASORT!#REF!,"AAAAAGz+/7Y=")</f>
        <v>#REF!</v>
      </c>
      <c r="GB32" t="e">
        <f>AND(DATASORT!#REF!,"AAAAAGz+/7c=")</f>
        <v>#REF!</v>
      </c>
      <c r="GC32" t="e">
        <f>AND(DATASORT!#REF!,"AAAAAGz+/7g=")</f>
        <v>#REF!</v>
      </c>
      <c r="GD32" t="e">
        <f>AND(DATASORT!#REF!,"AAAAAGz+/7k=")</f>
        <v>#REF!</v>
      </c>
      <c r="GE32" t="e">
        <f>AND(DATASORT!#REF!,"AAAAAGz+/7o=")</f>
        <v>#REF!</v>
      </c>
      <c r="GF32" t="e">
        <f>AND(DATASORT!#REF!,"AAAAAGz+/7s=")</f>
        <v>#REF!</v>
      </c>
      <c r="GG32" t="e">
        <f>AND(DATASORT!#REF!,"AAAAAGz+/7w=")</f>
        <v>#REF!</v>
      </c>
      <c r="GH32" t="e">
        <f>AND(DATASORT!#REF!,"AAAAAGz+/70=")</f>
        <v>#REF!</v>
      </c>
      <c r="GI32" t="e">
        <f>IF(DATASORT!#REF!,"AAAAAGz+/74=",0)</f>
        <v>#REF!</v>
      </c>
      <c r="GJ32" t="e">
        <f>AND(DATASORT!#REF!,"AAAAAGz+/78=")</f>
        <v>#REF!</v>
      </c>
      <c r="GK32" t="e">
        <f>AND(DATASORT!#REF!,"AAAAAGz+/8A=")</f>
        <v>#REF!</v>
      </c>
      <c r="GL32" t="e">
        <f>AND(DATASORT!#REF!,"AAAAAGz+/8E=")</f>
        <v>#REF!</v>
      </c>
      <c r="GM32" t="e">
        <f>AND(DATASORT!#REF!,"AAAAAGz+/8I=")</f>
        <v>#REF!</v>
      </c>
      <c r="GN32" t="e">
        <f>AND(DATASORT!#REF!,"AAAAAGz+/8M=")</f>
        <v>#REF!</v>
      </c>
      <c r="GO32" t="e">
        <f>AND(DATASORT!#REF!,"AAAAAGz+/8Q=")</f>
        <v>#REF!</v>
      </c>
      <c r="GP32" t="e">
        <f>AND(DATASORT!#REF!,"AAAAAGz+/8U=")</f>
        <v>#REF!</v>
      </c>
      <c r="GQ32" t="e">
        <f>AND(DATASORT!#REF!,"AAAAAGz+/8Y=")</f>
        <v>#REF!</v>
      </c>
      <c r="GR32" t="e">
        <f>AND(DATASORT!#REF!,"AAAAAGz+/8c=")</f>
        <v>#REF!</v>
      </c>
      <c r="GS32" t="e">
        <f>AND(DATASORT!#REF!,"AAAAAGz+/8g=")</f>
        <v>#REF!</v>
      </c>
      <c r="GT32" t="e">
        <f>AND(DATASORT!#REF!,"AAAAAGz+/8k=")</f>
        <v>#REF!</v>
      </c>
      <c r="GU32" t="e">
        <f>AND(DATASORT!#REF!,"AAAAAGz+/8o=")</f>
        <v>#REF!</v>
      </c>
      <c r="GV32" t="e">
        <f>AND(DATASORT!#REF!,"AAAAAGz+/8s=")</f>
        <v>#REF!</v>
      </c>
      <c r="GW32" t="e">
        <f>AND(DATASORT!#REF!,"AAAAAGz+/8w=")</f>
        <v>#REF!</v>
      </c>
      <c r="GX32" t="e">
        <f>AND(DATASORT!#REF!,"AAAAAGz+/80=")</f>
        <v>#REF!</v>
      </c>
      <c r="GY32" t="e">
        <f>AND(DATASORT!#REF!,"AAAAAGz+/84=")</f>
        <v>#REF!</v>
      </c>
      <c r="GZ32" t="e">
        <f>AND(DATASORT!#REF!,"AAAAAGz+/88=")</f>
        <v>#REF!</v>
      </c>
      <c r="HA32" t="e">
        <f>AND(DATASORT!#REF!,"AAAAAGz+/9A=")</f>
        <v>#REF!</v>
      </c>
      <c r="HB32" t="e">
        <f>AND(DATASORT!#REF!,"AAAAAGz+/9E=")</f>
        <v>#REF!</v>
      </c>
      <c r="HC32" t="e">
        <f>AND(DATASORT!#REF!,"AAAAAGz+/9I=")</f>
        <v>#REF!</v>
      </c>
      <c r="HD32" t="e">
        <f>AND(DATASORT!#REF!,"AAAAAGz+/9M=")</f>
        <v>#REF!</v>
      </c>
      <c r="HE32" t="e">
        <f>AND(DATASORT!#REF!,"AAAAAGz+/9Q=")</f>
        <v>#REF!</v>
      </c>
      <c r="HF32" t="e">
        <f>AND(DATASORT!#REF!,"AAAAAGz+/9U=")</f>
        <v>#REF!</v>
      </c>
      <c r="HG32" t="e">
        <f>AND(DATASORT!#REF!,"AAAAAGz+/9Y=")</f>
        <v>#REF!</v>
      </c>
      <c r="HH32" t="e">
        <f>AND(DATASORT!#REF!,"AAAAAGz+/9c=")</f>
        <v>#REF!</v>
      </c>
      <c r="HI32" t="e">
        <f>AND(DATASORT!#REF!,"AAAAAGz+/9g=")</f>
        <v>#REF!</v>
      </c>
      <c r="HJ32" t="e">
        <f>AND(DATASORT!#REF!,"AAAAAGz+/9k=")</f>
        <v>#REF!</v>
      </c>
      <c r="HK32" t="e">
        <f>IF(DATASORT!#REF!,"AAAAAGz+/9o=",0)</f>
        <v>#REF!</v>
      </c>
      <c r="HL32" t="e">
        <f>AND(DATASORT!#REF!,"AAAAAGz+/9s=")</f>
        <v>#REF!</v>
      </c>
      <c r="HM32" t="e">
        <f>AND(DATASORT!#REF!,"AAAAAGz+/9w=")</f>
        <v>#REF!</v>
      </c>
      <c r="HN32" t="e">
        <f>AND(DATASORT!#REF!,"AAAAAGz+/90=")</f>
        <v>#REF!</v>
      </c>
      <c r="HO32" t="e">
        <f>AND(DATASORT!#REF!,"AAAAAGz+/94=")</f>
        <v>#REF!</v>
      </c>
      <c r="HP32" t="e">
        <f>AND(DATASORT!#REF!,"AAAAAGz+/98=")</f>
        <v>#REF!</v>
      </c>
      <c r="HQ32" t="e">
        <f>AND(DATASORT!#REF!,"AAAAAGz+/+A=")</f>
        <v>#REF!</v>
      </c>
      <c r="HR32" t="e">
        <f>AND(DATASORT!#REF!,"AAAAAGz+/+E=")</f>
        <v>#REF!</v>
      </c>
      <c r="HS32" t="e">
        <f>AND(DATASORT!#REF!,"AAAAAGz+/+I=")</f>
        <v>#REF!</v>
      </c>
      <c r="HT32" t="e">
        <f>AND(DATASORT!#REF!,"AAAAAGz+/+M=")</f>
        <v>#REF!</v>
      </c>
      <c r="HU32" t="e">
        <f>AND(DATASORT!#REF!,"AAAAAGz+/+Q=")</f>
        <v>#REF!</v>
      </c>
      <c r="HV32" t="e">
        <f>AND(DATASORT!#REF!,"AAAAAGz+/+U=")</f>
        <v>#REF!</v>
      </c>
      <c r="HW32" t="e">
        <f>AND(DATASORT!#REF!,"AAAAAGz+/+Y=")</f>
        <v>#REF!</v>
      </c>
      <c r="HX32" t="e">
        <f>AND(DATASORT!#REF!,"AAAAAGz+/+c=")</f>
        <v>#REF!</v>
      </c>
      <c r="HY32" t="e">
        <f>AND(DATASORT!#REF!,"AAAAAGz+/+g=")</f>
        <v>#REF!</v>
      </c>
      <c r="HZ32" t="e">
        <f>AND(DATASORT!#REF!,"AAAAAGz+/+k=")</f>
        <v>#REF!</v>
      </c>
      <c r="IA32" t="e">
        <f>AND(DATASORT!#REF!,"AAAAAGz+/+o=")</f>
        <v>#REF!</v>
      </c>
      <c r="IB32" t="e">
        <f>AND(DATASORT!#REF!,"AAAAAGz+/+s=")</f>
        <v>#REF!</v>
      </c>
      <c r="IC32" t="e">
        <f>AND(DATASORT!#REF!,"AAAAAGz+/+w=")</f>
        <v>#REF!</v>
      </c>
      <c r="ID32" t="e">
        <f>AND(DATASORT!#REF!,"AAAAAGz+/+0=")</f>
        <v>#REF!</v>
      </c>
      <c r="IE32" t="e">
        <f>AND(DATASORT!#REF!,"AAAAAGz+/+4=")</f>
        <v>#REF!</v>
      </c>
      <c r="IF32" t="e">
        <f>AND(DATASORT!#REF!,"AAAAAGz+/+8=")</f>
        <v>#REF!</v>
      </c>
      <c r="IG32" t="e">
        <f>AND(DATASORT!#REF!,"AAAAAGz+//A=")</f>
        <v>#REF!</v>
      </c>
      <c r="IH32" t="e">
        <f>AND(DATASORT!#REF!,"AAAAAGz+//E=")</f>
        <v>#REF!</v>
      </c>
      <c r="II32" t="e">
        <f>AND(DATASORT!#REF!,"AAAAAGz+//I=")</f>
        <v>#REF!</v>
      </c>
      <c r="IJ32" t="e">
        <f>AND(DATASORT!#REF!,"AAAAAGz+//M=")</f>
        <v>#REF!</v>
      </c>
      <c r="IK32" t="e">
        <f>AND(DATASORT!#REF!,"AAAAAGz+//Q=")</f>
        <v>#REF!</v>
      </c>
      <c r="IL32" t="e">
        <f>AND(DATASORT!#REF!,"AAAAAGz+//U=")</f>
        <v>#REF!</v>
      </c>
      <c r="IM32" t="e">
        <f>IF(DATASORT!#REF!,"AAAAAGz+//Y=",0)</f>
        <v>#REF!</v>
      </c>
      <c r="IN32" t="e">
        <f>AND(DATASORT!#REF!,"AAAAAGz+//c=")</f>
        <v>#REF!</v>
      </c>
      <c r="IO32" t="e">
        <f>AND(DATASORT!#REF!,"AAAAAGz+//g=")</f>
        <v>#REF!</v>
      </c>
      <c r="IP32" t="e">
        <f>AND(DATASORT!#REF!,"AAAAAGz+//k=")</f>
        <v>#REF!</v>
      </c>
      <c r="IQ32" t="e">
        <f>AND(DATASORT!#REF!,"AAAAAGz+//o=")</f>
        <v>#REF!</v>
      </c>
      <c r="IR32" t="e">
        <f>AND(DATASORT!#REF!,"AAAAAGz+//s=")</f>
        <v>#REF!</v>
      </c>
      <c r="IS32" t="e">
        <f>AND(DATASORT!#REF!,"AAAAAGz+//w=")</f>
        <v>#REF!</v>
      </c>
      <c r="IT32" t="e">
        <f>AND(DATASORT!#REF!,"AAAAAGz+//0=")</f>
        <v>#REF!</v>
      </c>
      <c r="IU32" t="e">
        <f>AND(DATASORT!#REF!,"AAAAAGz+//4=")</f>
        <v>#REF!</v>
      </c>
      <c r="IV32" t="e">
        <f>AND(DATASORT!#REF!,"AAAAAGz+//8=")</f>
        <v>#REF!</v>
      </c>
    </row>
    <row r="33" spans="1:256">
      <c r="A33" t="e">
        <f>AND(DATASORT!#REF!,"AAAAAH3t+wA=")</f>
        <v>#REF!</v>
      </c>
      <c r="B33" t="e">
        <f>AND(DATASORT!#REF!,"AAAAAH3t+wE=")</f>
        <v>#REF!</v>
      </c>
      <c r="C33" t="e">
        <f>AND(DATASORT!#REF!,"AAAAAH3t+wI=")</f>
        <v>#REF!</v>
      </c>
      <c r="D33" t="e">
        <f>AND(DATASORT!#REF!,"AAAAAH3t+wM=")</f>
        <v>#REF!</v>
      </c>
      <c r="E33" t="e">
        <f>AND(DATASORT!#REF!,"AAAAAH3t+wQ=")</f>
        <v>#REF!</v>
      </c>
      <c r="F33" t="e">
        <f>AND(DATASORT!#REF!,"AAAAAH3t+wU=")</f>
        <v>#REF!</v>
      </c>
      <c r="G33" t="e">
        <f>AND(DATASORT!#REF!,"AAAAAH3t+wY=")</f>
        <v>#REF!</v>
      </c>
      <c r="H33" t="e">
        <f>AND(DATASORT!#REF!,"AAAAAH3t+wc=")</f>
        <v>#REF!</v>
      </c>
      <c r="I33" t="e">
        <f>AND(DATASORT!#REF!,"AAAAAH3t+wg=")</f>
        <v>#REF!</v>
      </c>
      <c r="J33" t="e">
        <f>AND(DATASORT!#REF!,"AAAAAH3t+wk=")</f>
        <v>#REF!</v>
      </c>
      <c r="K33" t="e">
        <f>AND(DATASORT!#REF!,"AAAAAH3t+wo=")</f>
        <v>#REF!</v>
      </c>
      <c r="L33" t="e">
        <f>AND(DATASORT!#REF!,"AAAAAH3t+ws=")</f>
        <v>#REF!</v>
      </c>
      <c r="M33" t="e">
        <f>AND(DATASORT!#REF!,"AAAAAH3t+ww=")</f>
        <v>#REF!</v>
      </c>
      <c r="N33" t="e">
        <f>AND(DATASORT!#REF!,"AAAAAH3t+w0=")</f>
        <v>#REF!</v>
      </c>
      <c r="O33" t="e">
        <f>AND(DATASORT!#REF!,"AAAAAH3t+w4=")</f>
        <v>#REF!</v>
      </c>
      <c r="P33" t="e">
        <f>AND(DATASORT!#REF!,"AAAAAH3t+w8=")</f>
        <v>#REF!</v>
      </c>
      <c r="Q33" t="e">
        <f>AND(DATASORT!#REF!,"AAAAAH3t+xA=")</f>
        <v>#REF!</v>
      </c>
      <c r="R33" t="e">
        <f>AND(DATASORT!#REF!,"AAAAAH3t+xE=")</f>
        <v>#REF!</v>
      </c>
      <c r="S33" t="e">
        <f>IF(DATASORT!#REF!,"AAAAAH3t+xI=",0)</f>
        <v>#REF!</v>
      </c>
      <c r="T33" t="e">
        <f>AND(DATASORT!#REF!,"AAAAAH3t+xM=")</f>
        <v>#REF!</v>
      </c>
      <c r="U33" t="e">
        <f>AND(DATASORT!#REF!,"AAAAAH3t+xQ=")</f>
        <v>#REF!</v>
      </c>
      <c r="V33" t="e">
        <f>AND(DATASORT!#REF!,"AAAAAH3t+xU=")</f>
        <v>#REF!</v>
      </c>
      <c r="W33" t="e">
        <f>AND(DATASORT!#REF!,"AAAAAH3t+xY=")</f>
        <v>#REF!</v>
      </c>
      <c r="X33" t="e">
        <f>AND(DATASORT!#REF!,"AAAAAH3t+xc=")</f>
        <v>#REF!</v>
      </c>
      <c r="Y33" t="e">
        <f>AND(DATASORT!#REF!,"AAAAAH3t+xg=")</f>
        <v>#REF!</v>
      </c>
      <c r="Z33" t="e">
        <f>AND(DATASORT!#REF!,"AAAAAH3t+xk=")</f>
        <v>#REF!</v>
      </c>
      <c r="AA33" t="e">
        <f>AND(DATASORT!#REF!,"AAAAAH3t+xo=")</f>
        <v>#REF!</v>
      </c>
      <c r="AB33" t="e">
        <f>AND(DATASORT!#REF!,"AAAAAH3t+xs=")</f>
        <v>#REF!</v>
      </c>
      <c r="AC33" t="e">
        <f>AND(DATASORT!#REF!,"AAAAAH3t+xw=")</f>
        <v>#REF!</v>
      </c>
      <c r="AD33" t="e">
        <f>AND(DATASORT!#REF!,"AAAAAH3t+x0=")</f>
        <v>#REF!</v>
      </c>
      <c r="AE33" t="e">
        <f>AND(DATASORT!#REF!,"AAAAAH3t+x4=")</f>
        <v>#REF!</v>
      </c>
      <c r="AF33" t="e">
        <f>AND(DATASORT!#REF!,"AAAAAH3t+x8=")</f>
        <v>#REF!</v>
      </c>
      <c r="AG33" t="e">
        <f>AND(DATASORT!#REF!,"AAAAAH3t+yA=")</f>
        <v>#REF!</v>
      </c>
      <c r="AH33" t="e">
        <f>AND(DATASORT!#REF!,"AAAAAH3t+yE=")</f>
        <v>#REF!</v>
      </c>
      <c r="AI33" t="e">
        <f>AND(DATASORT!#REF!,"AAAAAH3t+yI=")</f>
        <v>#REF!</v>
      </c>
      <c r="AJ33" t="e">
        <f>AND(DATASORT!#REF!,"AAAAAH3t+yM=")</f>
        <v>#REF!</v>
      </c>
      <c r="AK33" t="e">
        <f>AND(DATASORT!#REF!,"AAAAAH3t+yQ=")</f>
        <v>#REF!</v>
      </c>
      <c r="AL33" t="e">
        <f>AND(DATASORT!#REF!,"AAAAAH3t+yU=")</f>
        <v>#REF!</v>
      </c>
      <c r="AM33" t="e">
        <f>AND(DATASORT!#REF!,"AAAAAH3t+yY=")</f>
        <v>#REF!</v>
      </c>
      <c r="AN33" t="e">
        <f>AND(DATASORT!#REF!,"AAAAAH3t+yc=")</f>
        <v>#REF!</v>
      </c>
      <c r="AO33" t="e">
        <f>AND(DATASORT!#REF!,"AAAAAH3t+yg=")</f>
        <v>#REF!</v>
      </c>
      <c r="AP33" t="e">
        <f>AND(DATASORT!#REF!,"AAAAAH3t+yk=")</f>
        <v>#REF!</v>
      </c>
      <c r="AQ33" t="e">
        <f>AND(DATASORT!#REF!,"AAAAAH3t+yo=")</f>
        <v>#REF!</v>
      </c>
      <c r="AR33" t="e">
        <f>AND(DATASORT!#REF!,"AAAAAH3t+ys=")</f>
        <v>#REF!</v>
      </c>
      <c r="AS33" t="e">
        <f>AND(DATASORT!#REF!,"AAAAAH3t+yw=")</f>
        <v>#REF!</v>
      </c>
      <c r="AT33" t="e">
        <f>AND(DATASORT!#REF!,"AAAAAH3t+y0=")</f>
        <v>#REF!</v>
      </c>
      <c r="AU33" t="e">
        <f>IF(DATASORT!#REF!,"AAAAAH3t+y4=",0)</f>
        <v>#REF!</v>
      </c>
      <c r="AV33" t="e">
        <f>AND(DATASORT!#REF!,"AAAAAH3t+y8=")</f>
        <v>#REF!</v>
      </c>
      <c r="AW33" t="e">
        <f>AND(DATASORT!#REF!,"AAAAAH3t+zA=")</f>
        <v>#REF!</v>
      </c>
      <c r="AX33" t="e">
        <f>AND(DATASORT!#REF!,"AAAAAH3t+zE=")</f>
        <v>#REF!</v>
      </c>
      <c r="AY33" t="e">
        <f>AND(DATASORT!#REF!,"AAAAAH3t+zI=")</f>
        <v>#REF!</v>
      </c>
      <c r="AZ33" t="e">
        <f>AND(DATASORT!#REF!,"AAAAAH3t+zM=")</f>
        <v>#REF!</v>
      </c>
      <c r="BA33" t="e">
        <f>AND(DATASORT!#REF!,"AAAAAH3t+zQ=")</f>
        <v>#REF!</v>
      </c>
      <c r="BB33" t="e">
        <f>AND(DATASORT!#REF!,"AAAAAH3t+zU=")</f>
        <v>#REF!</v>
      </c>
      <c r="BC33" t="e">
        <f>AND(DATASORT!#REF!,"AAAAAH3t+zY=")</f>
        <v>#REF!</v>
      </c>
      <c r="BD33" t="e">
        <f>AND(DATASORT!#REF!,"AAAAAH3t+zc=")</f>
        <v>#REF!</v>
      </c>
      <c r="BE33" t="e">
        <f>AND(DATASORT!#REF!,"AAAAAH3t+zg=")</f>
        <v>#REF!</v>
      </c>
      <c r="BF33" t="e">
        <f>AND(DATASORT!#REF!,"AAAAAH3t+zk=")</f>
        <v>#REF!</v>
      </c>
      <c r="BG33" t="e">
        <f>AND(DATASORT!#REF!,"AAAAAH3t+zo=")</f>
        <v>#REF!</v>
      </c>
      <c r="BH33" t="e">
        <f>AND(DATASORT!#REF!,"AAAAAH3t+zs=")</f>
        <v>#REF!</v>
      </c>
      <c r="BI33" t="e">
        <f>AND(DATASORT!#REF!,"AAAAAH3t+zw=")</f>
        <v>#REF!</v>
      </c>
      <c r="BJ33" t="e">
        <f>AND(DATASORT!#REF!,"AAAAAH3t+z0=")</f>
        <v>#REF!</v>
      </c>
      <c r="BK33" t="e">
        <f>AND(DATASORT!#REF!,"AAAAAH3t+z4=")</f>
        <v>#REF!</v>
      </c>
      <c r="BL33" t="e">
        <f>AND(DATASORT!#REF!,"AAAAAH3t+z8=")</f>
        <v>#REF!</v>
      </c>
      <c r="BM33" t="e">
        <f>AND(DATASORT!#REF!,"AAAAAH3t+0A=")</f>
        <v>#REF!</v>
      </c>
      <c r="BN33" t="e">
        <f>AND(DATASORT!#REF!,"AAAAAH3t+0E=")</f>
        <v>#REF!</v>
      </c>
      <c r="BO33" t="e">
        <f>AND(DATASORT!#REF!,"AAAAAH3t+0I=")</f>
        <v>#REF!</v>
      </c>
      <c r="BP33" t="e">
        <f>AND(DATASORT!#REF!,"AAAAAH3t+0M=")</f>
        <v>#REF!</v>
      </c>
      <c r="BQ33" t="e">
        <f>AND(DATASORT!#REF!,"AAAAAH3t+0Q=")</f>
        <v>#REF!</v>
      </c>
      <c r="BR33" t="e">
        <f>AND(DATASORT!#REF!,"AAAAAH3t+0U=")</f>
        <v>#REF!</v>
      </c>
      <c r="BS33" t="e">
        <f>AND(DATASORT!#REF!,"AAAAAH3t+0Y=")</f>
        <v>#REF!</v>
      </c>
      <c r="BT33" t="e">
        <f>AND(DATASORT!#REF!,"AAAAAH3t+0c=")</f>
        <v>#REF!</v>
      </c>
      <c r="BU33" t="e">
        <f>AND(DATASORT!#REF!,"AAAAAH3t+0g=")</f>
        <v>#REF!</v>
      </c>
      <c r="BV33" t="e">
        <f>AND(DATASORT!#REF!,"AAAAAH3t+0k=")</f>
        <v>#REF!</v>
      </c>
      <c r="BW33" t="e">
        <f>IF(DATASORT!#REF!,"AAAAAH3t+0o=",0)</f>
        <v>#REF!</v>
      </c>
      <c r="BX33" t="e">
        <f>AND(DATASORT!#REF!,"AAAAAH3t+0s=")</f>
        <v>#REF!</v>
      </c>
      <c r="BY33" t="e">
        <f>AND(DATASORT!#REF!,"AAAAAH3t+0w=")</f>
        <v>#REF!</v>
      </c>
      <c r="BZ33" t="e">
        <f>AND(DATASORT!#REF!,"AAAAAH3t+00=")</f>
        <v>#REF!</v>
      </c>
      <c r="CA33" t="e">
        <f>AND(DATASORT!#REF!,"AAAAAH3t+04=")</f>
        <v>#REF!</v>
      </c>
      <c r="CB33" t="e">
        <f>AND(DATASORT!#REF!,"AAAAAH3t+08=")</f>
        <v>#REF!</v>
      </c>
      <c r="CC33" t="e">
        <f>AND(DATASORT!#REF!,"AAAAAH3t+1A=")</f>
        <v>#REF!</v>
      </c>
      <c r="CD33" t="e">
        <f>AND(DATASORT!#REF!,"AAAAAH3t+1E=")</f>
        <v>#REF!</v>
      </c>
      <c r="CE33" t="e">
        <f>AND(DATASORT!#REF!,"AAAAAH3t+1I=")</f>
        <v>#REF!</v>
      </c>
      <c r="CF33" t="e">
        <f>AND(DATASORT!#REF!,"AAAAAH3t+1M=")</f>
        <v>#REF!</v>
      </c>
      <c r="CG33" t="e">
        <f>AND(DATASORT!#REF!,"AAAAAH3t+1Q=")</f>
        <v>#REF!</v>
      </c>
      <c r="CH33" t="e">
        <f>AND(DATASORT!#REF!,"AAAAAH3t+1U=")</f>
        <v>#REF!</v>
      </c>
      <c r="CI33" t="e">
        <f>AND(DATASORT!#REF!,"AAAAAH3t+1Y=")</f>
        <v>#REF!</v>
      </c>
      <c r="CJ33" t="e">
        <f>AND(DATASORT!#REF!,"AAAAAH3t+1c=")</f>
        <v>#REF!</v>
      </c>
      <c r="CK33" t="e">
        <f>AND(DATASORT!#REF!,"AAAAAH3t+1g=")</f>
        <v>#REF!</v>
      </c>
      <c r="CL33" t="e">
        <f>AND(DATASORT!#REF!,"AAAAAH3t+1k=")</f>
        <v>#REF!</v>
      </c>
      <c r="CM33" t="e">
        <f>AND(DATASORT!#REF!,"AAAAAH3t+1o=")</f>
        <v>#REF!</v>
      </c>
      <c r="CN33" t="e">
        <f>AND(DATASORT!#REF!,"AAAAAH3t+1s=")</f>
        <v>#REF!</v>
      </c>
      <c r="CO33" t="e">
        <f>AND(DATASORT!#REF!,"AAAAAH3t+1w=")</f>
        <v>#REF!</v>
      </c>
      <c r="CP33" t="e">
        <f>AND(DATASORT!#REF!,"AAAAAH3t+10=")</f>
        <v>#REF!</v>
      </c>
      <c r="CQ33" t="e">
        <f>AND(DATASORT!#REF!,"AAAAAH3t+14=")</f>
        <v>#REF!</v>
      </c>
      <c r="CR33" t="e">
        <f>AND(DATASORT!#REF!,"AAAAAH3t+18=")</f>
        <v>#REF!</v>
      </c>
      <c r="CS33" t="e">
        <f>AND(DATASORT!#REF!,"AAAAAH3t+2A=")</f>
        <v>#REF!</v>
      </c>
      <c r="CT33" t="e">
        <f>AND(DATASORT!#REF!,"AAAAAH3t+2E=")</f>
        <v>#REF!</v>
      </c>
      <c r="CU33" t="e">
        <f>AND(DATASORT!#REF!,"AAAAAH3t+2I=")</f>
        <v>#REF!</v>
      </c>
      <c r="CV33" t="e">
        <f>AND(DATASORT!#REF!,"AAAAAH3t+2M=")</f>
        <v>#REF!</v>
      </c>
      <c r="CW33" t="e">
        <f>AND(DATASORT!#REF!,"AAAAAH3t+2Q=")</f>
        <v>#REF!</v>
      </c>
      <c r="CX33" t="e">
        <f>AND(DATASORT!#REF!,"AAAAAH3t+2U=")</f>
        <v>#REF!</v>
      </c>
      <c r="CY33" t="e">
        <f>IF(DATASORT!#REF!,"AAAAAH3t+2Y=",0)</f>
        <v>#REF!</v>
      </c>
      <c r="CZ33" t="e">
        <f>AND(DATASORT!#REF!,"AAAAAH3t+2c=")</f>
        <v>#REF!</v>
      </c>
      <c r="DA33" t="e">
        <f>AND(DATASORT!#REF!,"AAAAAH3t+2g=")</f>
        <v>#REF!</v>
      </c>
      <c r="DB33" t="e">
        <f>AND(DATASORT!#REF!,"AAAAAH3t+2k=")</f>
        <v>#REF!</v>
      </c>
      <c r="DC33" t="e">
        <f>AND(DATASORT!#REF!,"AAAAAH3t+2o=")</f>
        <v>#REF!</v>
      </c>
      <c r="DD33" t="e">
        <f>AND(DATASORT!#REF!,"AAAAAH3t+2s=")</f>
        <v>#REF!</v>
      </c>
      <c r="DE33" t="e">
        <f>AND(DATASORT!#REF!,"AAAAAH3t+2w=")</f>
        <v>#REF!</v>
      </c>
      <c r="DF33" t="e">
        <f>AND(DATASORT!#REF!,"AAAAAH3t+20=")</f>
        <v>#REF!</v>
      </c>
      <c r="DG33" t="e">
        <f>AND(DATASORT!#REF!,"AAAAAH3t+24=")</f>
        <v>#REF!</v>
      </c>
      <c r="DH33" t="e">
        <f>AND(DATASORT!#REF!,"AAAAAH3t+28=")</f>
        <v>#REF!</v>
      </c>
      <c r="DI33" t="e">
        <f>AND(DATASORT!#REF!,"AAAAAH3t+3A=")</f>
        <v>#REF!</v>
      </c>
      <c r="DJ33" t="e">
        <f>AND(DATASORT!#REF!,"AAAAAH3t+3E=")</f>
        <v>#REF!</v>
      </c>
      <c r="DK33" t="e">
        <f>AND(DATASORT!#REF!,"AAAAAH3t+3I=")</f>
        <v>#REF!</v>
      </c>
      <c r="DL33" t="e">
        <f>AND(DATASORT!#REF!,"AAAAAH3t+3M=")</f>
        <v>#REF!</v>
      </c>
      <c r="DM33" t="e">
        <f>AND(DATASORT!#REF!,"AAAAAH3t+3Q=")</f>
        <v>#REF!</v>
      </c>
      <c r="DN33" t="e">
        <f>AND(DATASORT!#REF!,"AAAAAH3t+3U=")</f>
        <v>#REF!</v>
      </c>
      <c r="DO33" t="e">
        <f>AND(DATASORT!#REF!,"AAAAAH3t+3Y=")</f>
        <v>#REF!</v>
      </c>
      <c r="DP33" t="e">
        <f>AND(DATASORT!#REF!,"AAAAAH3t+3c=")</f>
        <v>#REF!</v>
      </c>
      <c r="DQ33" t="e">
        <f>AND(DATASORT!#REF!,"AAAAAH3t+3g=")</f>
        <v>#REF!</v>
      </c>
      <c r="DR33" t="e">
        <f>AND(DATASORT!#REF!,"AAAAAH3t+3k=")</f>
        <v>#REF!</v>
      </c>
      <c r="DS33" t="e">
        <f>AND(DATASORT!#REF!,"AAAAAH3t+3o=")</f>
        <v>#REF!</v>
      </c>
      <c r="DT33" t="e">
        <f>AND(DATASORT!#REF!,"AAAAAH3t+3s=")</f>
        <v>#REF!</v>
      </c>
      <c r="DU33" t="e">
        <f>AND(DATASORT!#REF!,"AAAAAH3t+3w=")</f>
        <v>#REF!</v>
      </c>
      <c r="DV33" t="e">
        <f>AND(DATASORT!#REF!,"AAAAAH3t+30=")</f>
        <v>#REF!</v>
      </c>
      <c r="DW33" t="e">
        <f>AND(DATASORT!#REF!,"AAAAAH3t+34=")</f>
        <v>#REF!</v>
      </c>
      <c r="DX33" t="e">
        <f>AND(DATASORT!#REF!,"AAAAAH3t+38=")</f>
        <v>#REF!</v>
      </c>
      <c r="DY33" t="e">
        <f>AND(DATASORT!#REF!,"AAAAAH3t+4A=")</f>
        <v>#REF!</v>
      </c>
      <c r="DZ33" t="e">
        <f>AND(DATASORT!#REF!,"AAAAAH3t+4E=")</f>
        <v>#REF!</v>
      </c>
      <c r="EA33" t="e">
        <f>IF(DATASORT!#REF!,"AAAAAH3t+4I=",0)</f>
        <v>#REF!</v>
      </c>
      <c r="EB33" t="e">
        <f>AND(DATASORT!#REF!,"AAAAAH3t+4M=")</f>
        <v>#REF!</v>
      </c>
      <c r="EC33" t="e">
        <f>AND(DATASORT!#REF!,"AAAAAH3t+4Q=")</f>
        <v>#REF!</v>
      </c>
      <c r="ED33" t="e">
        <f>AND(DATASORT!#REF!,"AAAAAH3t+4U=")</f>
        <v>#REF!</v>
      </c>
      <c r="EE33" t="e">
        <f>AND(DATASORT!#REF!,"AAAAAH3t+4Y=")</f>
        <v>#REF!</v>
      </c>
      <c r="EF33" t="e">
        <f>AND(DATASORT!#REF!,"AAAAAH3t+4c=")</f>
        <v>#REF!</v>
      </c>
      <c r="EG33" t="e">
        <f>AND(DATASORT!#REF!,"AAAAAH3t+4g=")</f>
        <v>#REF!</v>
      </c>
      <c r="EH33" t="e">
        <f>AND(DATASORT!#REF!,"AAAAAH3t+4k=")</f>
        <v>#REF!</v>
      </c>
      <c r="EI33" t="e">
        <f>AND(DATASORT!#REF!,"AAAAAH3t+4o=")</f>
        <v>#REF!</v>
      </c>
      <c r="EJ33" t="e">
        <f>AND(DATASORT!#REF!,"AAAAAH3t+4s=")</f>
        <v>#REF!</v>
      </c>
      <c r="EK33" t="e">
        <f>AND(DATASORT!#REF!,"AAAAAH3t+4w=")</f>
        <v>#REF!</v>
      </c>
      <c r="EL33" t="e">
        <f>AND(DATASORT!#REF!,"AAAAAH3t+40=")</f>
        <v>#REF!</v>
      </c>
      <c r="EM33" t="e">
        <f>AND(DATASORT!#REF!,"AAAAAH3t+44=")</f>
        <v>#REF!</v>
      </c>
      <c r="EN33" t="e">
        <f>AND(DATASORT!#REF!,"AAAAAH3t+48=")</f>
        <v>#REF!</v>
      </c>
      <c r="EO33" t="e">
        <f>AND(DATASORT!#REF!,"AAAAAH3t+5A=")</f>
        <v>#REF!</v>
      </c>
      <c r="EP33" t="e">
        <f>AND(DATASORT!#REF!,"AAAAAH3t+5E=")</f>
        <v>#REF!</v>
      </c>
      <c r="EQ33" t="e">
        <f>AND(DATASORT!#REF!,"AAAAAH3t+5I=")</f>
        <v>#REF!</v>
      </c>
      <c r="ER33" t="e">
        <f>AND(DATASORT!#REF!,"AAAAAH3t+5M=")</f>
        <v>#REF!</v>
      </c>
      <c r="ES33" t="e">
        <f>AND(DATASORT!#REF!,"AAAAAH3t+5Q=")</f>
        <v>#REF!</v>
      </c>
      <c r="ET33" t="e">
        <f>AND(DATASORT!#REF!,"AAAAAH3t+5U=")</f>
        <v>#REF!</v>
      </c>
      <c r="EU33" t="e">
        <f>AND(DATASORT!#REF!,"AAAAAH3t+5Y=")</f>
        <v>#REF!</v>
      </c>
      <c r="EV33" t="e">
        <f>AND(DATASORT!#REF!,"AAAAAH3t+5c=")</f>
        <v>#REF!</v>
      </c>
      <c r="EW33" t="e">
        <f>AND(DATASORT!#REF!,"AAAAAH3t+5g=")</f>
        <v>#REF!</v>
      </c>
      <c r="EX33" t="e">
        <f>AND(DATASORT!#REF!,"AAAAAH3t+5k=")</f>
        <v>#REF!</v>
      </c>
      <c r="EY33" t="e">
        <f>AND(DATASORT!#REF!,"AAAAAH3t+5o=")</f>
        <v>#REF!</v>
      </c>
      <c r="EZ33" t="e">
        <f>AND(DATASORT!#REF!,"AAAAAH3t+5s=")</f>
        <v>#REF!</v>
      </c>
      <c r="FA33" t="e">
        <f>AND(DATASORT!#REF!,"AAAAAH3t+5w=")</f>
        <v>#REF!</v>
      </c>
      <c r="FB33" t="e">
        <f>AND(DATASORT!#REF!,"AAAAAH3t+50=")</f>
        <v>#REF!</v>
      </c>
      <c r="FC33" t="e">
        <f>IF(DATASORT!#REF!,"AAAAAH3t+54=",0)</f>
        <v>#REF!</v>
      </c>
      <c r="FD33" t="e">
        <f>AND(DATASORT!#REF!,"AAAAAH3t+58=")</f>
        <v>#REF!</v>
      </c>
      <c r="FE33" t="e">
        <f>AND(DATASORT!#REF!,"AAAAAH3t+6A=")</f>
        <v>#REF!</v>
      </c>
      <c r="FF33" t="e">
        <f>AND(DATASORT!#REF!,"AAAAAH3t+6E=")</f>
        <v>#REF!</v>
      </c>
      <c r="FG33" t="e">
        <f>AND(DATASORT!#REF!,"AAAAAH3t+6I=")</f>
        <v>#REF!</v>
      </c>
      <c r="FH33" t="e">
        <f>AND(DATASORT!#REF!,"AAAAAH3t+6M=")</f>
        <v>#REF!</v>
      </c>
      <c r="FI33" t="e">
        <f>AND(DATASORT!#REF!,"AAAAAH3t+6Q=")</f>
        <v>#REF!</v>
      </c>
      <c r="FJ33" t="e">
        <f>AND(DATASORT!#REF!,"AAAAAH3t+6U=")</f>
        <v>#REF!</v>
      </c>
      <c r="FK33" t="e">
        <f>AND(DATASORT!#REF!,"AAAAAH3t+6Y=")</f>
        <v>#REF!</v>
      </c>
      <c r="FL33" t="e">
        <f>AND(DATASORT!#REF!,"AAAAAH3t+6c=")</f>
        <v>#REF!</v>
      </c>
      <c r="FM33" t="e">
        <f>AND(DATASORT!#REF!,"AAAAAH3t+6g=")</f>
        <v>#REF!</v>
      </c>
      <c r="FN33" t="e">
        <f>AND(DATASORT!#REF!,"AAAAAH3t+6k=")</f>
        <v>#REF!</v>
      </c>
      <c r="FO33" t="e">
        <f>AND(DATASORT!#REF!,"AAAAAH3t+6o=")</f>
        <v>#REF!</v>
      </c>
      <c r="FP33" t="e">
        <f>AND(DATASORT!#REF!,"AAAAAH3t+6s=")</f>
        <v>#REF!</v>
      </c>
      <c r="FQ33" t="e">
        <f>AND(DATASORT!#REF!,"AAAAAH3t+6w=")</f>
        <v>#REF!</v>
      </c>
      <c r="FR33" t="e">
        <f>AND(DATASORT!#REF!,"AAAAAH3t+60=")</f>
        <v>#REF!</v>
      </c>
      <c r="FS33" t="e">
        <f>AND(DATASORT!#REF!,"AAAAAH3t+64=")</f>
        <v>#REF!</v>
      </c>
      <c r="FT33" t="e">
        <f>AND(DATASORT!#REF!,"AAAAAH3t+68=")</f>
        <v>#REF!</v>
      </c>
      <c r="FU33" t="e">
        <f>AND(DATASORT!#REF!,"AAAAAH3t+7A=")</f>
        <v>#REF!</v>
      </c>
      <c r="FV33" t="e">
        <f>AND(DATASORT!#REF!,"AAAAAH3t+7E=")</f>
        <v>#REF!</v>
      </c>
      <c r="FW33" t="e">
        <f>AND(DATASORT!#REF!,"AAAAAH3t+7I=")</f>
        <v>#REF!</v>
      </c>
      <c r="FX33" t="e">
        <f>AND(DATASORT!#REF!,"AAAAAH3t+7M=")</f>
        <v>#REF!</v>
      </c>
      <c r="FY33" t="e">
        <f>AND(DATASORT!#REF!,"AAAAAH3t+7Q=")</f>
        <v>#REF!</v>
      </c>
      <c r="FZ33" t="e">
        <f>AND(DATASORT!#REF!,"AAAAAH3t+7U=")</f>
        <v>#REF!</v>
      </c>
      <c r="GA33" t="e">
        <f>AND(DATASORT!#REF!,"AAAAAH3t+7Y=")</f>
        <v>#REF!</v>
      </c>
      <c r="GB33" t="e">
        <f>AND(DATASORT!#REF!,"AAAAAH3t+7c=")</f>
        <v>#REF!</v>
      </c>
      <c r="GC33" t="e">
        <f>AND(DATASORT!#REF!,"AAAAAH3t+7g=")</f>
        <v>#REF!</v>
      </c>
      <c r="GD33" t="e">
        <f>AND(DATASORT!#REF!,"AAAAAH3t+7k=")</f>
        <v>#REF!</v>
      </c>
      <c r="GE33" t="e">
        <f>IF(DATASORT!#REF!,"AAAAAH3t+7o=",0)</f>
        <v>#REF!</v>
      </c>
      <c r="GF33" t="e">
        <f>AND(DATASORT!#REF!,"AAAAAH3t+7s=")</f>
        <v>#REF!</v>
      </c>
      <c r="GG33" t="e">
        <f>AND(DATASORT!#REF!,"AAAAAH3t+7w=")</f>
        <v>#REF!</v>
      </c>
      <c r="GH33" t="e">
        <f>AND(DATASORT!#REF!,"AAAAAH3t+70=")</f>
        <v>#REF!</v>
      </c>
      <c r="GI33" t="e">
        <f>AND(DATASORT!#REF!,"AAAAAH3t+74=")</f>
        <v>#REF!</v>
      </c>
      <c r="GJ33" t="e">
        <f>AND(DATASORT!#REF!,"AAAAAH3t+78=")</f>
        <v>#REF!</v>
      </c>
      <c r="GK33" t="e">
        <f>AND(DATASORT!#REF!,"AAAAAH3t+8A=")</f>
        <v>#REF!</v>
      </c>
      <c r="GL33" t="e">
        <f>AND(DATASORT!#REF!,"AAAAAH3t+8E=")</f>
        <v>#REF!</v>
      </c>
      <c r="GM33" t="e">
        <f>AND(DATASORT!#REF!,"AAAAAH3t+8I=")</f>
        <v>#REF!</v>
      </c>
      <c r="GN33" t="e">
        <f>AND(DATASORT!#REF!,"AAAAAH3t+8M=")</f>
        <v>#REF!</v>
      </c>
      <c r="GO33" t="e">
        <f>AND(DATASORT!#REF!,"AAAAAH3t+8Q=")</f>
        <v>#REF!</v>
      </c>
      <c r="GP33" t="e">
        <f>AND(DATASORT!#REF!,"AAAAAH3t+8U=")</f>
        <v>#REF!</v>
      </c>
      <c r="GQ33" t="e">
        <f>AND(DATASORT!#REF!,"AAAAAH3t+8Y=")</f>
        <v>#REF!</v>
      </c>
      <c r="GR33" t="e">
        <f>AND(DATASORT!#REF!,"AAAAAH3t+8c=")</f>
        <v>#REF!</v>
      </c>
      <c r="GS33" t="e">
        <f>AND(DATASORT!#REF!,"AAAAAH3t+8g=")</f>
        <v>#REF!</v>
      </c>
      <c r="GT33" t="e">
        <f>AND(DATASORT!#REF!,"AAAAAH3t+8k=")</f>
        <v>#REF!</v>
      </c>
      <c r="GU33" t="e">
        <f>AND(DATASORT!#REF!,"AAAAAH3t+8o=")</f>
        <v>#REF!</v>
      </c>
      <c r="GV33" t="e">
        <f>AND(DATASORT!#REF!,"AAAAAH3t+8s=")</f>
        <v>#REF!</v>
      </c>
      <c r="GW33" t="e">
        <f>AND(DATASORT!#REF!,"AAAAAH3t+8w=")</f>
        <v>#REF!</v>
      </c>
      <c r="GX33" t="e">
        <f>AND(DATASORT!#REF!,"AAAAAH3t+80=")</f>
        <v>#REF!</v>
      </c>
      <c r="GY33" t="e">
        <f>AND(DATASORT!#REF!,"AAAAAH3t+84=")</f>
        <v>#REF!</v>
      </c>
      <c r="GZ33" t="e">
        <f>AND(DATASORT!#REF!,"AAAAAH3t+88=")</f>
        <v>#REF!</v>
      </c>
      <c r="HA33" t="e">
        <f>AND(DATASORT!#REF!,"AAAAAH3t+9A=")</f>
        <v>#REF!</v>
      </c>
      <c r="HB33" t="e">
        <f>AND(DATASORT!#REF!,"AAAAAH3t+9E=")</f>
        <v>#REF!</v>
      </c>
      <c r="HC33" t="e">
        <f>AND(DATASORT!#REF!,"AAAAAH3t+9I=")</f>
        <v>#REF!</v>
      </c>
      <c r="HD33" t="e">
        <f>AND(DATASORT!#REF!,"AAAAAH3t+9M=")</f>
        <v>#REF!</v>
      </c>
      <c r="HE33" t="e">
        <f>AND(DATASORT!#REF!,"AAAAAH3t+9Q=")</f>
        <v>#REF!</v>
      </c>
      <c r="HF33" t="e">
        <f>AND(DATASORT!#REF!,"AAAAAH3t+9U=")</f>
        <v>#REF!</v>
      </c>
      <c r="HG33" t="e">
        <f>IF(DATASORT!#REF!,"AAAAAH3t+9Y=",0)</f>
        <v>#REF!</v>
      </c>
      <c r="HH33" t="e">
        <f>AND(DATASORT!#REF!,"AAAAAH3t+9c=")</f>
        <v>#REF!</v>
      </c>
      <c r="HI33" t="e">
        <f>AND(DATASORT!#REF!,"AAAAAH3t+9g=")</f>
        <v>#REF!</v>
      </c>
      <c r="HJ33" t="e">
        <f>AND(DATASORT!#REF!,"AAAAAH3t+9k=")</f>
        <v>#REF!</v>
      </c>
      <c r="HK33" t="e">
        <f>AND(DATASORT!#REF!,"AAAAAH3t+9o=")</f>
        <v>#REF!</v>
      </c>
      <c r="HL33" t="e">
        <f>AND(DATASORT!#REF!,"AAAAAH3t+9s=")</f>
        <v>#REF!</v>
      </c>
      <c r="HM33" t="e">
        <f>AND(DATASORT!#REF!,"AAAAAH3t+9w=")</f>
        <v>#REF!</v>
      </c>
      <c r="HN33" t="e">
        <f>AND(DATASORT!#REF!,"AAAAAH3t+90=")</f>
        <v>#REF!</v>
      </c>
      <c r="HO33" t="e">
        <f>AND(DATASORT!#REF!,"AAAAAH3t+94=")</f>
        <v>#REF!</v>
      </c>
      <c r="HP33" t="e">
        <f>AND(DATASORT!#REF!,"AAAAAH3t+98=")</f>
        <v>#REF!</v>
      </c>
      <c r="HQ33" t="e">
        <f>AND(DATASORT!#REF!,"AAAAAH3t++A=")</f>
        <v>#REF!</v>
      </c>
      <c r="HR33" t="e">
        <f>AND(DATASORT!#REF!,"AAAAAH3t++E=")</f>
        <v>#REF!</v>
      </c>
      <c r="HS33" t="e">
        <f>AND(DATASORT!#REF!,"AAAAAH3t++I=")</f>
        <v>#REF!</v>
      </c>
      <c r="HT33" t="e">
        <f>AND(DATASORT!#REF!,"AAAAAH3t++M=")</f>
        <v>#REF!</v>
      </c>
      <c r="HU33" t="e">
        <f>AND(DATASORT!#REF!,"AAAAAH3t++Q=")</f>
        <v>#REF!</v>
      </c>
      <c r="HV33" t="e">
        <f>AND(DATASORT!#REF!,"AAAAAH3t++U=")</f>
        <v>#REF!</v>
      </c>
      <c r="HW33" t="e">
        <f>AND(DATASORT!#REF!,"AAAAAH3t++Y=")</f>
        <v>#REF!</v>
      </c>
      <c r="HX33" t="e">
        <f>AND(DATASORT!#REF!,"AAAAAH3t++c=")</f>
        <v>#REF!</v>
      </c>
      <c r="HY33" t="e">
        <f>AND(DATASORT!#REF!,"AAAAAH3t++g=")</f>
        <v>#REF!</v>
      </c>
      <c r="HZ33" t="e">
        <f>AND(DATASORT!#REF!,"AAAAAH3t++k=")</f>
        <v>#REF!</v>
      </c>
      <c r="IA33" t="e">
        <f>AND(DATASORT!#REF!,"AAAAAH3t++o=")</f>
        <v>#REF!</v>
      </c>
      <c r="IB33" t="e">
        <f>AND(DATASORT!#REF!,"AAAAAH3t++s=")</f>
        <v>#REF!</v>
      </c>
      <c r="IC33" t="e">
        <f>AND(DATASORT!#REF!,"AAAAAH3t++w=")</f>
        <v>#REF!</v>
      </c>
      <c r="ID33" t="e">
        <f>AND(DATASORT!#REF!,"AAAAAH3t++0=")</f>
        <v>#REF!</v>
      </c>
      <c r="IE33" t="e">
        <f>AND(DATASORT!#REF!,"AAAAAH3t++4=")</f>
        <v>#REF!</v>
      </c>
      <c r="IF33" t="e">
        <f>AND(DATASORT!#REF!,"AAAAAH3t++8=")</f>
        <v>#REF!</v>
      </c>
      <c r="IG33" t="e">
        <f>AND(DATASORT!#REF!,"AAAAAH3t+/A=")</f>
        <v>#REF!</v>
      </c>
      <c r="IH33" t="e">
        <f>AND(DATASORT!#REF!,"AAAAAH3t+/E=")</f>
        <v>#REF!</v>
      </c>
      <c r="II33" t="e">
        <f>IF(DATASORT!#REF!,"AAAAAH3t+/I=",0)</f>
        <v>#REF!</v>
      </c>
      <c r="IJ33" t="e">
        <f>AND(DATASORT!#REF!,"AAAAAH3t+/M=")</f>
        <v>#REF!</v>
      </c>
      <c r="IK33" t="e">
        <f>AND(DATASORT!#REF!,"AAAAAH3t+/Q=")</f>
        <v>#REF!</v>
      </c>
      <c r="IL33" t="e">
        <f>AND(DATASORT!#REF!,"AAAAAH3t+/U=")</f>
        <v>#REF!</v>
      </c>
      <c r="IM33" t="e">
        <f>AND(DATASORT!#REF!,"AAAAAH3t+/Y=")</f>
        <v>#REF!</v>
      </c>
      <c r="IN33" t="e">
        <f>AND(DATASORT!#REF!,"AAAAAH3t+/c=")</f>
        <v>#REF!</v>
      </c>
      <c r="IO33" t="e">
        <f>AND(DATASORT!#REF!,"AAAAAH3t+/g=")</f>
        <v>#REF!</v>
      </c>
      <c r="IP33" t="e">
        <f>AND(DATASORT!#REF!,"AAAAAH3t+/k=")</f>
        <v>#REF!</v>
      </c>
      <c r="IQ33" t="e">
        <f>AND(DATASORT!#REF!,"AAAAAH3t+/o=")</f>
        <v>#REF!</v>
      </c>
      <c r="IR33" t="e">
        <f>AND(DATASORT!#REF!,"AAAAAH3t+/s=")</f>
        <v>#REF!</v>
      </c>
      <c r="IS33" t="e">
        <f>AND(DATASORT!#REF!,"AAAAAH3t+/w=")</f>
        <v>#REF!</v>
      </c>
      <c r="IT33" t="e">
        <f>AND(DATASORT!#REF!,"AAAAAH3t+/0=")</f>
        <v>#REF!</v>
      </c>
      <c r="IU33" t="e">
        <f>AND(DATASORT!#REF!,"AAAAAH3t+/4=")</f>
        <v>#REF!</v>
      </c>
      <c r="IV33" t="e">
        <f>AND(DATASORT!#REF!,"AAAAAH3t+/8=")</f>
        <v>#REF!</v>
      </c>
    </row>
    <row r="34" spans="1:256">
      <c r="A34" t="e">
        <f>AND(DATASORT!#REF!,"AAAAAH77VwA=")</f>
        <v>#REF!</v>
      </c>
      <c r="B34" t="e">
        <f>AND(DATASORT!#REF!,"AAAAAH77VwE=")</f>
        <v>#REF!</v>
      </c>
      <c r="C34" t="e">
        <f>AND(DATASORT!#REF!,"AAAAAH77VwI=")</f>
        <v>#REF!</v>
      </c>
      <c r="D34" t="e">
        <f>AND(DATASORT!#REF!,"AAAAAH77VwM=")</f>
        <v>#REF!</v>
      </c>
      <c r="E34" t="e">
        <f>AND(DATASORT!#REF!,"AAAAAH77VwQ=")</f>
        <v>#REF!</v>
      </c>
      <c r="F34" t="e">
        <f>AND(DATASORT!#REF!,"AAAAAH77VwU=")</f>
        <v>#REF!</v>
      </c>
      <c r="G34" t="e">
        <f>AND(DATASORT!#REF!,"AAAAAH77VwY=")</f>
        <v>#REF!</v>
      </c>
      <c r="H34" t="e">
        <f>AND(DATASORT!#REF!,"AAAAAH77Vwc=")</f>
        <v>#REF!</v>
      </c>
      <c r="I34" t="e">
        <f>AND(DATASORT!#REF!,"AAAAAH77Vwg=")</f>
        <v>#REF!</v>
      </c>
      <c r="J34" t="e">
        <f>AND(DATASORT!#REF!,"AAAAAH77Vwk=")</f>
        <v>#REF!</v>
      </c>
      <c r="K34" t="e">
        <f>AND(DATASORT!#REF!,"AAAAAH77Vwo=")</f>
        <v>#REF!</v>
      </c>
      <c r="L34" t="e">
        <f>AND(DATASORT!#REF!,"AAAAAH77Vws=")</f>
        <v>#REF!</v>
      </c>
      <c r="M34" t="e">
        <f>AND(DATASORT!#REF!,"AAAAAH77Vww=")</f>
        <v>#REF!</v>
      </c>
      <c r="N34" t="e">
        <f>AND(DATASORT!#REF!,"AAAAAH77Vw0=")</f>
        <v>#REF!</v>
      </c>
      <c r="O34" t="e">
        <f>IF(DATASORT!#REF!,"AAAAAH77Vw4=",0)</f>
        <v>#REF!</v>
      </c>
      <c r="P34" t="e">
        <f>AND(DATASORT!#REF!,"AAAAAH77Vw8=")</f>
        <v>#REF!</v>
      </c>
      <c r="Q34" t="e">
        <f>AND(DATASORT!#REF!,"AAAAAH77VxA=")</f>
        <v>#REF!</v>
      </c>
      <c r="R34" t="e">
        <f>AND(DATASORT!#REF!,"AAAAAH77VxE=")</f>
        <v>#REF!</v>
      </c>
      <c r="S34" t="e">
        <f>AND(DATASORT!#REF!,"AAAAAH77VxI=")</f>
        <v>#REF!</v>
      </c>
      <c r="T34" t="e">
        <f>AND(DATASORT!#REF!,"AAAAAH77VxM=")</f>
        <v>#REF!</v>
      </c>
      <c r="U34" t="e">
        <f>AND(DATASORT!#REF!,"AAAAAH77VxQ=")</f>
        <v>#REF!</v>
      </c>
      <c r="V34" t="e">
        <f>AND(DATASORT!#REF!,"AAAAAH77VxU=")</f>
        <v>#REF!</v>
      </c>
      <c r="W34" t="e">
        <f>AND(DATASORT!#REF!,"AAAAAH77VxY=")</f>
        <v>#REF!</v>
      </c>
      <c r="X34" t="e">
        <f>AND(DATASORT!#REF!,"AAAAAH77Vxc=")</f>
        <v>#REF!</v>
      </c>
      <c r="Y34" t="e">
        <f>AND(DATASORT!#REF!,"AAAAAH77Vxg=")</f>
        <v>#REF!</v>
      </c>
      <c r="Z34" t="e">
        <f>AND(DATASORT!#REF!,"AAAAAH77Vxk=")</f>
        <v>#REF!</v>
      </c>
      <c r="AA34" t="e">
        <f>AND(DATASORT!#REF!,"AAAAAH77Vxo=")</f>
        <v>#REF!</v>
      </c>
      <c r="AB34" t="e">
        <f>AND(DATASORT!#REF!,"AAAAAH77Vxs=")</f>
        <v>#REF!</v>
      </c>
      <c r="AC34" t="e">
        <f>AND(DATASORT!#REF!,"AAAAAH77Vxw=")</f>
        <v>#REF!</v>
      </c>
      <c r="AD34" t="e">
        <f>AND(DATASORT!#REF!,"AAAAAH77Vx0=")</f>
        <v>#REF!</v>
      </c>
      <c r="AE34" t="e">
        <f>AND(DATASORT!#REF!,"AAAAAH77Vx4=")</f>
        <v>#REF!</v>
      </c>
      <c r="AF34" t="e">
        <f>AND(DATASORT!#REF!,"AAAAAH77Vx8=")</f>
        <v>#REF!</v>
      </c>
      <c r="AG34" t="e">
        <f>AND(DATASORT!#REF!,"AAAAAH77VyA=")</f>
        <v>#REF!</v>
      </c>
      <c r="AH34" t="e">
        <f>AND(DATASORT!#REF!,"AAAAAH77VyE=")</f>
        <v>#REF!</v>
      </c>
      <c r="AI34" t="e">
        <f>AND(DATASORT!#REF!,"AAAAAH77VyI=")</f>
        <v>#REF!</v>
      </c>
      <c r="AJ34" t="e">
        <f>AND(DATASORT!#REF!,"AAAAAH77VyM=")</f>
        <v>#REF!</v>
      </c>
      <c r="AK34" t="e">
        <f>AND(DATASORT!#REF!,"AAAAAH77VyQ=")</f>
        <v>#REF!</v>
      </c>
      <c r="AL34" t="e">
        <f>AND(DATASORT!#REF!,"AAAAAH77VyU=")</f>
        <v>#REF!</v>
      </c>
      <c r="AM34" t="e">
        <f>AND(DATASORT!#REF!,"AAAAAH77VyY=")</f>
        <v>#REF!</v>
      </c>
      <c r="AN34" t="e">
        <f>AND(DATASORT!#REF!,"AAAAAH77Vyc=")</f>
        <v>#REF!</v>
      </c>
      <c r="AO34" t="e">
        <f>AND(DATASORT!#REF!,"AAAAAH77Vyg=")</f>
        <v>#REF!</v>
      </c>
      <c r="AP34" t="e">
        <f>AND(DATASORT!#REF!,"AAAAAH77Vyk=")</f>
        <v>#REF!</v>
      </c>
      <c r="AQ34" t="e">
        <f>IF(DATASORT!#REF!,"AAAAAH77Vyo=",0)</f>
        <v>#REF!</v>
      </c>
      <c r="AR34" t="e">
        <f>AND(DATASORT!#REF!,"AAAAAH77Vys=")</f>
        <v>#REF!</v>
      </c>
      <c r="AS34" t="e">
        <f>AND(DATASORT!#REF!,"AAAAAH77Vyw=")</f>
        <v>#REF!</v>
      </c>
      <c r="AT34" t="e">
        <f>AND(DATASORT!#REF!,"AAAAAH77Vy0=")</f>
        <v>#REF!</v>
      </c>
      <c r="AU34" t="e">
        <f>AND(DATASORT!#REF!,"AAAAAH77Vy4=")</f>
        <v>#REF!</v>
      </c>
      <c r="AV34" t="e">
        <f>AND(DATASORT!#REF!,"AAAAAH77Vy8=")</f>
        <v>#REF!</v>
      </c>
      <c r="AW34" t="e">
        <f>AND(DATASORT!#REF!,"AAAAAH77VzA=")</f>
        <v>#REF!</v>
      </c>
      <c r="AX34" t="e">
        <f>AND(DATASORT!#REF!,"AAAAAH77VzE=")</f>
        <v>#REF!</v>
      </c>
      <c r="AY34" t="e">
        <f>AND(DATASORT!#REF!,"AAAAAH77VzI=")</f>
        <v>#REF!</v>
      </c>
      <c r="AZ34" t="e">
        <f>AND(DATASORT!#REF!,"AAAAAH77VzM=")</f>
        <v>#REF!</v>
      </c>
      <c r="BA34" t="e">
        <f>AND(DATASORT!#REF!,"AAAAAH77VzQ=")</f>
        <v>#REF!</v>
      </c>
      <c r="BB34" t="e">
        <f>AND(DATASORT!#REF!,"AAAAAH77VzU=")</f>
        <v>#REF!</v>
      </c>
      <c r="BC34" t="e">
        <f>AND(DATASORT!#REF!,"AAAAAH77VzY=")</f>
        <v>#REF!</v>
      </c>
      <c r="BD34" t="e">
        <f>AND(DATASORT!#REF!,"AAAAAH77Vzc=")</f>
        <v>#REF!</v>
      </c>
      <c r="BE34" t="e">
        <f>AND(DATASORT!#REF!,"AAAAAH77Vzg=")</f>
        <v>#REF!</v>
      </c>
      <c r="BF34" t="e">
        <f>AND(DATASORT!#REF!,"AAAAAH77Vzk=")</f>
        <v>#REF!</v>
      </c>
      <c r="BG34" t="e">
        <f>AND(DATASORT!#REF!,"AAAAAH77Vzo=")</f>
        <v>#REF!</v>
      </c>
      <c r="BH34" t="e">
        <f>AND(DATASORT!#REF!,"AAAAAH77Vzs=")</f>
        <v>#REF!</v>
      </c>
      <c r="BI34" t="e">
        <f>AND(DATASORT!#REF!,"AAAAAH77Vzw=")</f>
        <v>#REF!</v>
      </c>
      <c r="BJ34" t="e">
        <f>AND(DATASORT!#REF!,"AAAAAH77Vz0=")</f>
        <v>#REF!</v>
      </c>
      <c r="BK34" t="e">
        <f>AND(DATASORT!#REF!,"AAAAAH77Vz4=")</f>
        <v>#REF!</v>
      </c>
      <c r="BL34" t="e">
        <f>AND(DATASORT!#REF!,"AAAAAH77Vz8=")</f>
        <v>#REF!</v>
      </c>
      <c r="BM34" t="e">
        <f>AND(DATASORT!#REF!,"AAAAAH77V0A=")</f>
        <v>#REF!</v>
      </c>
      <c r="BN34" t="e">
        <f>AND(DATASORT!#REF!,"AAAAAH77V0E=")</f>
        <v>#REF!</v>
      </c>
      <c r="BO34" t="e">
        <f>AND(DATASORT!#REF!,"AAAAAH77V0I=")</f>
        <v>#REF!</v>
      </c>
      <c r="BP34" t="e">
        <f>AND(DATASORT!#REF!,"AAAAAH77V0M=")</f>
        <v>#REF!</v>
      </c>
      <c r="BQ34" t="e">
        <f>AND(DATASORT!#REF!,"AAAAAH77V0Q=")</f>
        <v>#REF!</v>
      </c>
      <c r="BR34" t="e">
        <f>AND(DATASORT!#REF!,"AAAAAH77V0U=")</f>
        <v>#REF!</v>
      </c>
      <c r="BS34" t="e">
        <f>IF(DATASORT!#REF!,"AAAAAH77V0Y=",0)</f>
        <v>#REF!</v>
      </c>
      <c r="BT34" t="e">
        <f>AND(DATASORT!#REF!,"AAAAAH77V0c=")</f>
        <v>#REF!</v>
      </c>
      <c r="BU34" t="e">
        <f>AND(DATASORT!#REF!,"AAAAAH77V0g=")</f>
        <v>#REF!</v>
      </c>
      <c r="BV34" t="e">
        <f>AND(DATASORT!#REF!,"AAAAAH77V0k=")</f>
        <v>#REF!</v>
      </c>
      <c r="BW34" t="e">
        <f>AND(DATASORT!#REF!,"AAAAAH77V0o=")</f>
        <v>#REF!</v>
      </c>
      <c r="BX34" t="e">
        <f>AND(DATASORT!#REF!,"AAAAAH77V0s=")</f>
        <v>#REF!</v>
      </c>
      <c r="BY34" t="e">
        <f>AND(DATASORT!#REF!,"AAAAAH77V0w=")</f>
        <v>#REF!</v>
      </c>
      <c r="BZ34" t="e">
        <f>AND(DATASORT!#REF!,"AAAAAH77V00=")</f>
        <v>#REF!</v>
      </c>
      <c r="CA34" t="e">
        <f>AND(DATASORT!#REF!,"AAAAAH77V04=")</f>
        <v>#REF!</v>
      </c>
      <c r="CB34" t="e">
        <f>AND(DATASORT!#REF!,"AAAAAH77V08=")</f>
        <v>#REF!</v>
      </c>
      <c r="CC34" t="e">
        <f>AND(DATASORT!#REF!,"AAAAAH77V1A=")</f>
        <v>#REF!</v>
      </c>
      <c r="CD34" t="e">
        <f>AND(DATASORT!#REF!,"AAAAAH77V1E=")</f>
        <v>#REF!</v>
      </c>
      <c r="CE34" t="e">
        <f>AND(DATASORT!#REF!,"AAAAAH77V1I=")</f>
        <v>#REF!</v>
      </c>
      <c r="CF34" t="e">
        <f>AND(DATASORT!#REF!,"AAAAAH77V1M=")</f>
        <v>#REF!</v>
      </c>
      <c r="CG34" t="e">
        <f>AND(DATASORT!#REF!,"AAAAAH77V1Q=")</f>
        <v>#REF!</v>
      </c>
      <c r="CH34" t="e">
        <f>AND(DATASORT!#REF!,"AAAAAH77V1U=")</f>
        <v>#REF!</v>
      </c>
      <c r="CI34" t="e">
        <f>AND(DATASORT!#REF!,"AAAAAH77V1Y=")</f>
        <v>#REF!</v>
      </c>
      <c r="CJ34" t="e">
        <f>AND(DATASORT!#REF!,"AAAAAH77V1c=")</f>
        <v>#REF!</v>
      </c>
      <c r="CK34" t="e">
        <f>AND(DATASORT!#REF!,"AAAAAH77V1g=")</f>
        <v>#REF!</v>
      </c>
      <c r="CL34" t="e">
        <f>AND(DATASORT!#REF!,"AAAAAH77V1k=")</f>
        <v>#REF!</v>
      </c>
      <c r="CM34" t="e">
        <f>AND(DATASORT!#REF!,"AAAAAH77V1o=")</f>
        <v>#REF!</v>
      </c>
      <c r="CN34" t="e">
        <f>AND(DATASORT!#REF!,"AAAAAH77V1s=")</f>
        <v>#REF!</v>
      </c>
      <c r="CO34" t="e">
        <f>AND(DATASORT!#REF!,"AAAAAH77V1w=")</f>
        <v>#REF!</v>
      </c>
      <c r="CP34" t="e">
        <f>AND(DATASORT!#REF!,"AAAAAH77V10=")</f>
        <v>#REF!</v>
      </c>
      <c r="CQ34" t="e">
        <f>AND(DATASORT!#REF!,"AAAAAH77V14=")</f>
        <v>#REF!</v>
      </c>
      <c r="CR34" t="e">
        <f>AND(DATASORT!#REF!,"AAAAAH77V18=")</f>
        <v>#REF!</v>
      </c>
      <c r="CS34" t="e">
        <f>AND(DATASORT!#REF!,"AAAAAH77V2A=")</f>
        <v>#REF!</v>
      </c>
      <c r="CT34" t="e">
        <f>AND(DATASORT!#REF!,"AAAAAH77V2E=")</f>
        <v>#REF!</v>
      </c>
      <c r="CU34" t="e">
        <f>IF(DATASORT!#REF!,"AAAAAH77V2I=",0)</f>
        <v>#REF!</v>
      </c>
      <c r="CV34" t="e">
        <f>AND(DATASORT!#REF!,"AAAAAH77V2M=")</f>
        <v>#REF!</v>
      </c>
      <c r="CW34" t="e">
        <f>AND(DATASORT!#REF!,"AAAAAH77V2Q=")</f>
        <v>#REF!</v>
      </c>
      <c r="CX34" t="e">
        <f>AND(DATASORT!#REF!,"AAAAAH77V2U=")</f>
        <v>#REF!</v>
      </c>
      <c r="CY34" t="e">
        <f>AND(DATASORT!#REF!,"AAAAAH77V2Y=")</f>
        <v>#REF!</v>
      </c>
      <c r="CZ34" t="e">
        <f>AND(DATASORT!#REF!,"AAAAAH77V2c=")</f>
        <v>#REF!</v>
      </c>
      <c r="DA34" t="e">
        <f>AND(DATASORT!#REF!,"AAAAAH77V2g=")</f>
        <v>#REF!</v>
      </c>
      <c r="DB34" t="e">
        <f>AND(DATASORT!#REF!,"AAAAAH77V2k=")</f>
        <v>#REF!</v>
      </c>
      <c r="DC34" t="e">
        <f>AND(DATASORT!#REF!,"AAAAAH77V2o=")</f>
        <v>#REF!</v>
      </c>
      <c r="DD34" t="e">
        <f>AND(DATASORT!#REF!,"AAAAAH77V2s=")</f>
        <v>#REF!</v>
      </c>
      <c r="DE34" t="e">
        <f>AND(DATASORT!#REF!,"AAAAAH77V2w=")</f>
        <v>#REF!</v>
      </c>
      <c r="DF34" t="e">
        <f>AND(DATASORT!#REF!,"AAAAAH77V20=")</f>
        <v>#REF!</v>
      </c>
      <c r="DG34" t="e">
        <f>AND(DATASORT!#REF!,"AAAAAH77V24=")</f>
        <v>#REF!</v>
      </c>
      <c r="DH34" t="e">
        <f>AND(DATASORT!#REF!,"AAAAAH77V28=")</f>
        <v>#REF!</v>
      </c>
      <c r="DI34" t="e">
        <f>AND(DATASORT!#REF!,"AAAAAH77V3A=")</f>
        <v>#REF!</v>
      </c>
      <c r="DJ34" t="e">
        <f>AND(DATASORT!#REF!,"AAAAAH77V3E=")</f>
        <v>#REF!</v>
      </c>
      <c r="DK34" t="e">
        <f>AND(DATASORT!#REF!,"AAAAAH77V3I=")</f>
        <v>#REF!</v>
      </c>
      <c r="DL34" t="e">
        <f>AND(DATASORT!#REF!,"AAAAAH77V3M=")</f>
        <v>#REF!</v>
      </c>
      <c r="DM34" t="e">
        <f>AND(DATASORT!#REF!,"AAAAAH77V3Q=")</f>
        <v>#REF!</v>
      </c>
      <c r="DN34" t="e">
        <f>AND(DATASORT!#REF!,"AAAAAH77V3U=")</f>
        <v>#REF!</v>
      </c>
      <c r="DO34" t="e">
        <f>AND(DATASORT!#REF!,"AAAAAH77V3Y=")</f>
        <v>#REF!</v>
      </c>
      <c r="DP34" t="e">
        <f>AND(DATASORT!#REF!,"AAAAAH77V3c=")</f>
        <v>#REF!</v>
      </c>
      <c r="DQ34" t="e">
        <f>AND(DATASORT!#REF!,"AAAAAH77V3g=")</f>
        <v>#REF!</v>
      </c>
      <c r="DR34" t="e">
        <f>AND(DATASORT!#REF!,"AAAAAH77V3k=")</f>
        <v>#REF!</v>
      </c>
      <c r="DS34" t="e">
        <f>AND(DATASORT!#REF!,"AAAAAH77V3o=")</f>
        <v>#REF!</v>
      </c>
      <c r="DT34" t="e">
        <f>AND(DATASORT!#REF!,"AAAAAH77V3s=")</f>
        <v>#REF!</v>
      </c>
      <c r="DU34" t="e">
        <f>AND(DATASORT!#REF!,"AAAAAH77V3w=")</f>
        <v>#REF!</v>
      </c>
      <c r="DV34" t="e">
        <f>AND(DATASORT!#REF!,"AAAAAH77V30=")</f>
        <v>#REF!</v>
      </c>
      <c r="DW34" t="e">
        <f>IF(DATASORT!#REF!,"AAAAAH77V34=",0)</f>
        <v>#REF!</v>
      </c>
      <c r="DX34" t="e">
        <f>AND(DATASORT!#REF!,"AAAAAH77V38=")</f>
        <v>#REF!</v>
      </c>
      <c r="DY34" t="e">
        <f>AND(DATASORT!#REF!,"AAAAAH77V4A=")</f>
        <v>#REF!</v>
      </c>
      <c r="DZ34" t="e">
        <f>AND(DATASORT!#REF!,"AAAAAH77V4E=")</f>
        <v>#REF!</v>
      </c>
      <c r="EA34" t="e">
        <f>AND(DATASORT!#REF!,"AAAAAH77V4I=")</f>
        <v>#REF!</v>
      </c>
      <c r="EB34" t="e">
        <f>AND(DATASORT!#REF!,"AAAAAH77V4M=")</f>
        <v>#REF!</v>
      </c>
      <c r="EC34" t="e">
        <f>AND(DATASORT!#REF!,"AAAAAH77V4Q=")</f>
        <v>#REF!</v>
      </c>
      <c r="ED34" t="e">
        <f>AND(DATASORT!#REF!,"AAAAAH77V4U=")</f>
        <v>#REF!</v>
      </c>
      <c r="EE34" t="e">
        <f>AND(DATASORT!#REF!,"AAAAAH77V4Y=")</f>
        <v>#REF!</v>
      </c>
      <c r="EF34" t="e">
        <f>AND(DATASORT!#REF!,"AAAAAH77V4c=")</f>
        <v>#REF!</v>
      </c>
      <c r="EG34" t="e">
        <f>AND(DATASORT!#REF!,"AAAAAH77V4g=")</f>
        <v>#REF!</v>
      </c>
      <c r="EH34" t="e">
        <f>AND(DATASORT!#REF!,"AAAAAH77V4k=")</f>
        <v>#REF!</v>
      </c>
      <c r="EI34" t="e">
        <f>AND(DATASORT!#REF!,"AAAAAH77V4o=")</f>
        <v>#REF!</v>
      </c>
      <c r="EJ34" t="e">
        <f>AND(DATASORT!#REF!,"AAAAAH77V4s=")</f>
        <v>#REF!</v>
      </c>
      <c r="EK34" t="e">
        <f>AND(DATASORT!#REF!,"AAAAAH77V4w=")</f>
        <v>#REF!</v>
      </c>
      <c r="EL34" t="e">
        <f>AND(DATASORT!#REF!,"AAAAAH77V40=")</f>
        <v>#REF!</v>
      </c>
      <c r="EM34" t="e">
        <f>AND(DATASORT!#REF!,"AAAAAH77V44=")</f>
        <v>#REF!</v>
      </c>
      <c r="EN34" t="e">
        <f>AND(DATASORT!#REF!,"AAAAAH77V48=")</f>
        <v>#REF!</v>
      </c>
      <c r="EO34" t="e">
        <f>AND(DATASORT!#REF!,"AAAAAH77V5A=")</f>
        <v>#REF!</v>
      </c>
      <c r="EP34" t="e">
        <f>AND(DATASORT!#REF!,"AAAAAH77V5E=")</f>
        <v>#REF!</v>
      </c>
      <c r="EQ34" t="e">
        <f>AND(DATASORT!#REF!,"AAAAAH77V5I=")</f>
        <v>#REF!</v>
      </c>
      <c r="ER34" t="e">
        <f>AND(DATASORT!#REF!,"AAAAAH77V5M=")</f>
        <v>#REF!</v>
      </c>
      <c r="ES34" t="e">
        <f>AND(DATASORT!#REF!,"AAAAAH77V5Q=")</f>
        <v>#REF!</v>
      </c>
      <c r="ET34" t="e">
        <f>AND(DATASORT!#REF!,"AAAAAH77V5U=")</f>
        <v>#REF!</v>
      </c>
      <c r="EU34" t="e">
        <f>AND(DATASORT!#REF!,"AAAAAH77V5Y=")</f>
        <v>#REF!</v>
      </c>
      <c r="EV34" t="e">
        <f>AND(DATASORT!#REF!,"AAAAAH77V5c=")</f>
        <v>#REF!</v>
      </c>
      <c r="EW34" t="e">
        <f>AND(DATASORT!#REF!,"AAAAAH77V5g=")</f>
        <v>#REF!</v>
      </c>
      <c r="EX34" t="e">
        <f>AND(DATASORT!#REF!,"AAAAAH77V5k=")</f>
        <v>#REF!</v>
      </c>
      <c r="EY34" t="e">
        <f>IF(DATASORT!#REF!,"AAAAAH77V5o=",0)</f>
        <v>#REF!</v>
      </c>
      <c r="EZ34" t="e">
        <f>AND(DATASORT!#REF!,"AAAAAH77V5s=")</f>
        <v>#REF!</v>
      </c>
      <c r="FA34" t="e">
        <f>AND(DATASORT!#REF!,"AAAAAH77V5w=")</f>
        <v>#REF!</v>
      </c>
      <c r="FB34" t="e">
        <f>AND(DATASORT!#REF!,"AAAAAH77V50=")</f>
        <v>#REF!</v>
      </c>
      <c r="FC34" t="e">
        <f>AND(DATASORT!#REF!,"AAAAAH77V54=")</f>
        <v>#REF!</v>
      </c>
      <c r="FD34" t="e">
        <f>AND(DATASORT!#REF!,"AAAAAH77V58=")</f>
        <v>#REF!</v>
      </c>
      <c r="FE34" t="e">
        <f>AND(DATASORT!#REF!,"AAAAAH77V6A=")</f>
        <v>#REF!</v>
      </c>
      <c r="FF34" t="e">
        <f>AND(DATASORT!#REF!,"AAAAAH77V6E=")</f>
        <v>#REF!</v>
      </c>
      <c r="FG34" t="e">
        <f>AND(DATASORT!#REF!,"AAAAAH77V6I=")</f>
        <v>#REF!</v>
      </c>
      <c r="FH34" t="e">
        <f>AND(DATASORT!#REF!,"AAAAAH77V6M=")</f>
        <v>#REF!</v>
      </c>
      <c r="FI34" t="e">
        <f>AND(DATASORT!#REF!,"AAAAAH77V6Q=")</f>
        <v>#REF!</v>
      </c>
      <c r="FJ34" t="e">
        <f>AND(DATASORT!#REF!,"AAAAAH77V6U=")</f>
        <v>#REF!</v>
      </c>
      <c r="FK34" t="e">
        <f>AND(DATASORT!#REF!,"AAAAAH77V6Y=")</f>
        <v>#REF!</v>
      </c>
      <c r="FL34" t="e">
        <f>AND(DATASORT!#REF!,"AAAAAH77V6c=")</f>
        <v>#REF!</v>
      </c>
      <c r="FM34" t="e">
        <f>AND(DATASORT!#REF!,"AAAAAH77V6g=")</f>
        <v>#REF!</v>
      </c>
      <c r="FN34" t="e">
        <f>AND(DATASORT!#REF!,"AAAAAH77V6k=")</f>
        <v>#REF!</v>
      </c>
      <c r="FO34" t="e">
        <f>AND(DATASORT!#REF!,"AAAAAH77V6o=")</f>
        <v>#REF!</v>
      </c>
      <c r="FP34" t="e">
        <f>AND(DATASORT!#REF!,"AAAAAH77V6s=")</f>
        <v>#REF!</v>
      </c>
      <c r="FQ34" t="e">
        <f>AND(DATASORT!#REF!,"AAAAAH77V6w=")</f>
        <v>#REF!</v>
      </c>
      <c r="FR34" t="e">
        <f>AND(DATASORT!#REF!,"AAAAAH77V60=")</f>
        <v>#REF!</v>
      </c>
      <c r="FS34" t="e">
        <f>AND(DATASORT!#REF!,"AAAAAH77V64=")</f>
        <v>#REF!</v>
      </c>
      <c r="FT34" t="e">
        <f>AND(DATASORT!#REF!,"AAAAAH77V68=")</f>
        <v>#REF!</v>
      </c>
      <c r="FU34" t="e">
        <f>AND(DATASORT!#REF!,"AAAAAH77V7A=")</f>
        <v>#REF!</v>
      </c>
      <c r="FV34" t="e">
        <f>AND(DATASORT!#REF!,"AAAAAH77V7E=")</f>
        <v>#REF!</v>
      </c>
      <c r="FW34" t="e">
        <f>AND(DATASORT!#REF!,"AAAAAH77V7I=")</f>
        <v>#REF!</v>
      </c>
      <c r="FX34" t="e">
        <f>AND(DATASORT!#REF!,"AAAAAH77V7M=")</f>
        <v>#REF!</v>
      </c>
      <c r="FY34" t="e">
        <f>AND(DATASORT!#REF!,"AAAAAH77V7Q=")</f>
        <v>#REF!</v>
      </c>
      <c r="FZ34" t="e">
        <f>AND(DATASORT!#REF!,"AAAAAH77V7U=")</f>
        <v>#REF!</v>
      </c>
      <c r="GA34" t="e">
        <f>IF(DATASORT!#REF!,"AAAAAH77V7Y=",0)</f>
        <v>#REF!</v>
      </c>
      <c r="GB34" t="e">
        <f>AND(DATASORT!#REF!,"AAAAAH77V7c=")</f>
        <v>#REF!</v>
      </c>
      <c r="GC34" t="e">
        <f>AND(DATASORT!#REF!,"AAAAAH77V7g=")</f>
        <v>#REF!</v>
      </c>
      <c r="GD34" t="e">
        <f>AND(DATASORT!#REF!,"AAAAAH77V7k=")</f>
        <v>#REF!</v>
      </c>
      <c r="GE34" t="e">
        <f>AND(DATASORT!#REF!,"AAAAAH77V7o=")</f>
        <v>#REF!</v>
      </c>
      <c r="GF34" t="e">
        <f>AND(DATASORT!#REF!,"AAAAAH77V7s=")</f>
        <v>#REF!</v>
      </c>
      <c r="GG34" t="e">
        <f>AND(DATASORT!#REF!,"AAAAAH77V7w=")</f>
        <v>#REF!</v>
      </c>
      <c r="GH34" t="e">
        <f>AND(DATASORT!#REF!,"AAAAAH77V70=")</f>
        <v>#REF!</v>
      </c>
      <c r="GI34" t="e">
        <f>AND(DATASORT!#REF!,"AAAAAH77V74=")</f>
        <v>#REF!</v>
      </c>
      <c r="GJ34" t="e">
        <f>AND(DATASORT!#REF!,"AAAAAH77V78=")</f>
        <v>#REF!</v>
      </c>
      <c r="GK34" t="e">
        <f>AND(DATASORT!#REF!,"AAAAAH77V8A=")</f>
        <v>#REF!</v>
      </c>
      <c r="GL34" t="e">
        <f>AND(DATASORT!#REF!,"AAAAAH77V8E=")</f>
        <v>#REF!</v>
      </c>
      <c r="GM34" t="e">
        <f>AND(DATASORT!#REF!,"AAAAAH77V8I=")</f>
        <v>#REF!</v>
      </c>
      <c r="GN34" t="e">
        <f>AND(DATASORT!#REF!,"AAAAAH77V8M=")</f>
        <v>#REF!</v>
      </c>
      <c r="GO34" t="e">
        <f>AND(DATASORT!#REF!,"AAAAAH77V8Q=")</f>
        <v>#REF!</v>
      </c>
      <c r="GP34" t="e">
        <f>AND(DATASORT!#REF!,"AAAAAH77V8U=")</f>
        <v>#REF!</v>
      </c>
      <c r="GQ34" t="e">
        <f>AND(DATASORT!#REF!,"AAAAAH77V8Y=")</f>
        <v>#REF!</v>
      </c>
      <c r="GR34" t="e">
        <f>AND(DATASORT!#REF!,"AAAAAH77V8c=")</f>
        <v>#REF!</v>
      </c>
      <c r="GS34" t="e">
        <f>AND(DATASORT!#REF!,"AAAAAH77V8g=")</f>
        <v>#REF!</v>
      </c>
      <c r="GT34" t="e">
        <f>AND(DATASORT!#REF!,"AAAAAH77V8k=")</f>
        <v>#REF!</v>
      </c>
      <c r="GU34" t="e">
        <f>AND(DATASORT!#REF!,"AAAAAH77V8o=")</f>
        <v>#REF!</v>
      </c>
      <c r="GV34" t="e">
        <f>AND(DATASORT!#REF!,"AAAAAH77V8s=")</f>
        <v>#REF!</v>
      </c>
      <c r="GW34" t="e">
        <f>AND(DATASORT!#REF!,"AAAAAH77V8w=")</f>
        <v>#REF!</v>
      </c>
      <c r="GX34" t="e">
        <f>AND(DATASORT!#REF!,"AAAAAH77V80=")</f>
        <v>#REF!</v>
      </c>
      <c r="GY34" t="e">
        <f>AND(DATASORT!#REF!,"AAAAAH77V84=")</f>
        <v>#REF!</v>
      </c>
      <c r="GZ34" t="e">
        <f>AND(DATASORT!#REF!,"AAAAAH77V88=")</f>
        <v>#REF!</v>
      </c>
      <c r="HA34" t="e">
        <f>AND(DATASORT!#REF!,"AAAAAH77V9A=")</f>
        <v>#REF!</v>
      </c>
      <c r="HB34" t="e">
        <f>AND(DATASORT!#REF!,"AAAAAH77V9E=")</f>
        <v>#REF!</v>
      </c>
      <c r="HC34" t="e">
        <f>IF(DATASORT!#REF!,"AAAAAH77V9I=",0)</f>
        <v>#REF!</v>
      </c>
      <c r="HD34" t="e">
        <f>AND(DATASORT!#REF!,"AAAAAH77V9M=")</f>
        <v>#REF!</v>
      </c>
      <c r="HE34" t="e">
        <f>AND(DATASORT!#REF!,"AAAAAH77V9Q=")</f>
        <v>#REF!</v>
      </c>
      <c r="HF34" t="e">
        <f>AND(DATASORT!#REF!,"AAAAAH77V9U=")</f>
        <v>#REF!</v>
      </c>
      <c r="HG34" t="e">
        <f>AND(DATASORT!#REF!,"AAAAAH77V9Y=")</f>
        <v>#REF!</v>
      </c>
      <c r="HH34" t="e">
        <f>AND(DATASORT!#REF!,"AAAAAH77V9c=")</f>
        <v>#REF!</v>
      </c>
      <c r="HI34" t="e">
        <f>AND(DATASORT!#REF!,"AAAAAH77V9g=")</f>
        <v>#REF!</v>
      </c>
      <c r="HJ34" t="e">
        <f>AND(DATASORT!#REF!,"AAAAAH77V9k=")</f>
        <v>#REF!</v>
      </c>
      <c r="HK34" t="e">
        <f>AND(DATASORT!#REF!,"AAAAAH77V9o=")</f>
        <v>#REF!</v>
      </c>
      <c r="HL34" t="e">
        <f>AND(DATASORT!#REF!,"AAAAAH77V9s=")</f>
        <v>#REF!</v>
      </c>
      <c r="HM34" t="e">
        <f>AND(DATASORT!#REF!,"AAAAAH77V9w=")</f>
        <v>#REF!</v>
      </c>
      <c r="HN34" t="e">
        <f>AND(DATASORT!#REF!,"AAAAAH77V90=")</f>
        <v>#REF!</v>
      </c>
      <c r="HO34" t="e">
        <f>AND(DATASORT!#REF!,"AAAAAH77V94=")</f>
        <v>#REF!</v>
      </c>
      <c r="HP34" t="e">
        <f>AND(DATASORT!#REF!,"AAAAAH77V98=")</f>
        <v>#REF!</v>
      </c>
      <c r="HQ34" t="e">
        <f>AND(DATASORT!#REF!,"AAAAAH77V+A=")</f>
        <v>#REF!</v>
      </c>
      <c r="HR34" t="e">
        <f>AND(DATASORT!#REF!,"AAAAAH77V+E=")</f>
        <v>#REF!</v>
      </c>
      <c r="HS34" t="e">
        <f>AND(DATASORT!#REF!,"AAAAAH77V+I=")</f>
        <v>#REF!</v>
      </c>
      <c r="HT34" t="e">
        <f>AND(DATASORT!#REF!,"AAAAAH77V+M=")</f>
        <v>#REF!</v>
      </c>
      <c r="HU34" t="e">
        <f>AND(DATASORT!#REF!,"AAAAAH77V+Q=")</f>
        <v>#REF!</v>
      </c>
      <c r="HV34" t="e">
        <f>AND(DATASORT!#REF!,"AAAAAH77V+U=")</f>
        <v>#REF!</v>
      </c>
      <c r="HW34" t="e">
        <f>AND(DATASORT!#REF!,"AAAAAH77V+Y=")</f>
        <v>#REF!</v>
      </c>
      <c r="HX34" t="e">
        <f>AND(DATASORT!#REF!,"AAAAAH77V+c=")</f>
        <v>#REF!</v>
      </c>
      <c r="HY34" t="e">
        <f>AND(DATASORT!#REF!,"AAAAAH77V+g=")</f>
        <v>#REF!</v>
      </c>
      <c r="HZ34" t="e">
        <f>AND(DATASORT!#REF!,"AAAAAH77V+k=")</f>
        <v>#REF!</v>
      </c>
      <c r="IA34" t="e">
        <f>AND(DATASORT!#REF!,"AAAAAH77V+o=")</f>
        <v>#REF!</v>
      </c>
      <c r="IB34" t="e">
        <f>AND(DATASORT!#REF!,"AAAAAH77V+s=")</f>
        <v>#REF!</v>
      </c>
      <c r="IC34" t="e">
        <f>AND(DATASORT!#REF!,"AAAAAH77V+w=")</f>
        <v>#REF!</v>
      </c>
      <c r="ID34" t="e">
        <f>AND(DATASORT!#REF!,"AAAAAH77V+0=")</f>
        <v>#REF!</v>
      </c>
      <c r="IE34" t="e">
        <f>IF(DATASORT!#REF!,"AAAAAH77V+4=",0)</f>
        <v>#REF!</v>
      </c>
      <c r="IF34" t="e">
        <f>AND(DATASORT!#REF!,"AAAAAH77V+8=")</f>
        <v>#REF!</v>
      </c>
      <c r="IG34" t="e">
        <f>AND(DATASORT!#REF!,"AAAAAH77V/A=")</f>
        <v>#REF!</v>
      </c>
      <c r="IH34" t="e">
        <f>AND(DATASORT!#REF!,"AAAAAH77V/E=")</f>
        <v>#REF!</v>
      </c>
      <c r="II34" t="e">
        <f>AND(DATASORT!#REF!,"AAAAAH77V/I=")</f>
        <v>#REF!</v>
      </c>
      <c r="IJ34" t="e">
        <f>AND(DATASORT!#REF!,"AAAAAH77V/M=")</f>
        <v>#REF!</v>
      </c>
      <c r="IK34" t="e">
        <f>AND(DATASORT!#REF!,"AAAAAH77V/Q=")</f>
        <v>#REF!</v>
      </c>
      <c r="IL34" t="e">
        <f>AND(DATASORT!#REF!,"AAAAAH77V/U=")</f>
        <v>#REF!</v>
      </c>
      <c r="IM34" t="e">
        <f>AND(DATASORT!#REF!,"AAAAAH77V/Y=")</f>
        <v>#REF!</v>
      </c>
      <c r="IN34" t="e">
        <f>AND(DATASORT!#REF!,"AAAAAH77V/c=")</f>
        <v>#REF!</v>
      </c>
      <c r="IO34" t="e">
        <f>AND(DATASORT!#REF!,"AAAAAH77V/g=")</f>
        <v>#REF!</v>
      </c>
      <c r="IP34" t="e">
        <f>AND(DATASORT!#REF!,"AAAAAH77V/k=")</f>
        <v>#REF!</v>
      </c>
      <c r="IQ34" t="e">
        <f>AND(DATASORT!#REF!,"AAAAAH77V/o=")</f>
        <v>#REF!</v>
      </c>
      <c r="IR34" t="e">
        <f>AND(DATASORT!#REF!,"AAAAAH77V/s=")</f>
        <v>#REF!</v>
      </c>
      <c r="IS34" t="e">
        <f>AND(DATASORT!#REF!,"AAAAAH77V/w=")</f>
        <v>#REF!</v>
      </c>
      <c r="IT34" t="e">
        <f>AND(DATASORT!#REF!,"AAAAAH77V/0=")</f>
        <v>#REF!</v>
      </c>
      <c r="IU34" t="e">
        <f>AND(DATASORT!#REF!,"AAAAAH77V/4=")</f>
        <v>#REF!</v>
      </c>
      <c r="IV34" t="e">
        <f>AND(DATASORT!#REF!,"AAAAAH77V/8=")</f>
        <v>#REF!</v>
      </c>
    </row>
    <row r="35" spans="1:256">
      <c r="A35" t="e">
        <f>AND(DATASORT!#REF!,"AAAAAGfl3wA=")</f>
        <v>#REF!</v>
      </c>
      <c r="B35" t="e">
        <f>AND(DATASORT!#REF!,"AAAAAGfl3wE=")</f>
        <v>#REF!</v>
      </c>
      <c r="C35" t="e">
        <f>AND(DATASORT!#REF!,"AAAAAGfl3wI=")</f>
        <v>#REF!</v>
      </c>
      <c r="D35" t="e">
        <f>AND(DATASORT!#REF!,"AAAAAGfl3wM=")</f>
        <v>#REF!</v>
      </c>
      <c r="E35" t="e">
        <f>AND(DATASORT!#REF!,"AAAAAGfl3wQ=")</f>
        <v>#REF!</v>
      </c>
      <c r="F35" t="e">
        <f>AND(DATASORT!#REF!,"AAAAAGfl3wU=")</f>
        <v>#REF!</v>
      </c>
      <c r="G35" t="e">
        <f>AND(DATASORT!#REF!,"AAAAAGfl3wY=")</f>
        <v>#REF!</v>
      </c>
      <c r="H35" t="e">
        <f>AND(DATASORT!#REF!,"AAAAAGfl3wc=")</f>
        <v>#REF!</v>
      </c>
      <c r="I35" t="e">
        <f>AND(DATASORT!#REF!,"AAAAAGfl3wg=")</f>
        <v>#REF!</v>
      </c>
      <c r="J35" t="e">
        <f>AND(DATASORT!#REF!,"AAAAAGfl3wk=")</f>
        <v>#REF!</v>
      </c>
      <c r="K35" t="e">
        <f>IF(DATASORT!#REF!,"AAAAAGfl3wo=",0)</f>
        <v>#REF!</v>
      </c>
      <c r="L35" t="e">
        <f>AND(DATASORT!#REF!,"AAAAAGfl3ws=")</f>
        <v>#REF!</v>
      </c>
      <c r="M35" t="e">
        <f>AND(DATASORT!#REF!,"AAAAAGfl3ww=")</f>
        <v>#REF!</v>
      </c>
      <c r="N35" t="e">
        <f>AND(DATASORT!#REF!,"AAAAAGfl3w0=")</f>
        <v>#REF!</v>
      </c>
      <c r="O35" t="e">
        <f>AND(DATASORT!#REF!,"AAAAAGfl3w4=")</f>
        <v>#REF!</v>
      </c>
      <c r="P35" t="e">
        <f>AND(DATASORT!#REF!,"AAAAAGfl3w8=")</f>
        <v>#REF!</v>
      </c>
      <c r="Q35" t="e">
        <f>AND(DATASORT!#REF!,"AAAAAGfl3xA=")</f>
        <v>#REF!</v>
      </c>
      <c r="R35" t="e">
        <f>AND(DATASORT!#REF!,"AAAAAGfl3xE=")</f>
        <v>#REF!</v>
      </c>
      <c r="S35" t="e">
        <f>AND(DATASORT!#REF!,"AAAAAGfl3xI=")</f>
        <v>#REF!</v>
      </c>
      <c r="T35" t="e">
        <f>AND(DATASORT!#REF!,"AAAAAGfl3xM=")</f>
        <v>#REF!</v>
      </c>
      <c r="U35" t="e">
        <f>AND(DATASORT!#REF!,"AAAAAGfl3xQ=")</f>
        <v>#REF!</v>
      </c>
      <c r="V35" t="e">
        <f>AND(DATASORT!#REF!,"AAAAAGfl3xU=")</f>
        <v>#REF!</v>
      </c>
      <c r="W35" t="e">
        <f>AND(DATASORT!#REF!,"AAAAAGfl3xY=")</f>
        <v>#REF!</v>
      </c>
      <c r="X35" t="e">
        <f>AND(DATASORT!#REF!,"AAAAAGfl3xc=")</f>
        <v>#REF!</v>
      </c>
      <c r="Y35" t="e">
        <f>AND(DATASORT!#REF!,"AAAAAGfl3xg=")</f>
        <v>#REF!</v>
      </c>
      <c r="Z35" t="e">
        <f>AND(DATASORT!#REF!,"AAAAAGfl3xk=")</f>
        <v>#REF!</v>
      </c>
      <c r="AA35" t="e">
        <f>AND(DATASORT!#REF!,"AAAAAGfl3xo=")</f>
        <v>#REF!</v>
      </c>
      <c r="AB35" t="e">
        <f>AND(DATASORT!#REF!,"AAAAAGfl3xs=")</f>
        <v>#REF!</v>
      </c>
      <c r="AC35" t="e">
        <f>AND(DATASORT!#REF!,"AAAAAGfl3xw=")</f>
        <v>#REF!</v>
      </c>
      <c r="AD35" t="e">
        <f>AND(DATASORT!#REF!,"AAAAAGfl3x0=")</f>
        <v>#REF!</v>
      </c>
      <c r="AE35" t="e">
        <f>AND(DATASORT!#REF!,"AAAAAGfl3x4=")</f>
        <v>#REF!</v>
      </c>
      <c r="AF35" t="e">
        <f>AND(DATASORT!#REF!,"AAAAAGfl3x8=")</f>
        <v>#REF!</v>
      </c>
      <c r="AG35" t="e">
        <f>AND(DATASORT!#REF!,"AAAAAGfl3yA=")</f>
        <v>#REF!</v>
      </c>
      <c r="AH35" t="e">
        <f>AND(DATASORT!#REF!,"AAAAAGfl3yE=")</f>
        <v>#REF!</v>
      </c>
      <c r="AI35" t="e">
        <f>AND(DATASORT!#REF!,"AAAAAGfl3yI=")</f>
        <v>#REF!</v>
      </c>
      <c r="AJ35" t="e">
        <f>AND(DATASORT!#REF!,"AAAAAGfl3yM=")</f>
        <v>#REF!</v>
      </c>
      <c r="AK35" t="e">
        <f>AND(DATASORT!#REF!,"AAAAAGfl3yQ=")</f>
        <v>#REF!</v>
      </c>
      <c r="AL35" t="e">
        <f>AND(DATASORT!#REF!,"AAAAAGfl3yU=")</f>
        <v>#REF!</v>
      </c>
      <c r="AM35" t="e">
        <f>IF(DATASORT!#REF!,"AAAAAGfl3yY=",0)</f>
        <v>#REF!</v>
      </c>
      <c r="AN35" t="e">
        <f>AND(DATASORT!#REF!,"AAAAAGfl3yc=")</f>
        <v>#REF!</v>
      </c>
      <c r="AO35" t="e">
        <f>AND(DATASORT!#REF!,"AAAAAGfl3yg=")</f>
        <v>#REF!</v>
      </c>
      <c r="AP35" t="e">
        <f>AND(DATASORT!#REF!,"AAAAAGfl3yk=")</f>
        <v>#REF!</v>
      </c>
      <c r="AQ35" t="e">
        <f>AND(DATASORT!#REF!,"AAAAAGfl3yo=")</f>
        <v>#REF!</v>
      </c>
      <c r="AR35" t="e">
        <f>AND(DATASORT!#REF!,"AAAAAGfl3ys=")</f>
        <v>#REF!</v>
      </c>
      <c r="AS35" t="e">
        <f>AND(DATASORT!#REF!,"AAAAAGfl3yw=")</f>
        <v>#REF!</v>
      </c>
      <c r="AT35" t="e">
        <f>AND(DATASORT!#REF!,"AAAAAGfl3y0=")</f>
        <v>#REF!</v>
      </c>
      <c r="AU35" t="e">
        <f>AND(DATASORT!#REF!,"AAAAAGfl3y4=")</f>
        <v>#REF!</v>
      </c>
      <c r="AV35" t="e">
        <f>AND(DATASORT!#REF!,"AAAAAGfl3y8=")</f>
        <v>#REF!</v>
      </c>
      <c r="AW35" t="e">
        <f>AND(DATASORT!#REF!,"AAAAAGfl3zA=")</f>
        <v>#REF!</v>
      </c>
      <c r="AX35" t="e">
        <f>AND(DATASORT!#REF!,"AAAAAGfl3zE=")</f>
        <v>#REF!</v>
      </c>
      <c r="AY35" t="e">
        <f>AND(DATASORT!#REF!,"AAAAAGfl3zI=")</f>
        <v>#REF!</v>
      </c>
      <c r="AZ35" t="e">
        <f>AND(DATASORT!#REF!,"AAAAAGfl3zM=")</f>
        <v>#REF!</v>
      </c>
      <c r="BA35" t="e">
        <f>AND(DATASORT!#REF!,"AAAAAGfl3zQ=")</f>
        <v>#REF!</v>
      </c>
      <c r="BB35" t="e">
        <f>AND(DATASORT!#REF!,"AAAAAGfl3zU=")</f>
        <v>#REF!</v>
      </c>
      <c r="BC35" t="e">
        <f>AND(DATASORT!#REF!,"AAAAAGfl3zY=")</f>
        <v>#REF!</v>
      </c>
      <c r="BD35" t="e">
        <f>AND(DATASORT!#REF!,"AAAAAGfl3zc=")</f>
        <v>#REF!</v>
      </c>
      <c r="BE35" t="e">
        <f>AND(DATASORT!#REF!,"AAAAAGfl3zg=")</f>
        <v>#REF!</v>
      </c>
      <c r="BF35" t="e">
        <f>AND(DATASORT!#REF!,"AAAAAGfl3zk=")</f>
        <v>#REF!</v>
      </c>
      <c r="BG35" t="e">
        <f>AND(DATASORT!#REF!,"AAAAAGfl3zo=")</f>
        <v>#REF!</v>
      </c>
      <c r="BH35" t="e">
        <f>AND(DATASORT!#REF!,"AAAAAGfl3zs=")</f>
        <v>#REF!</v>
      </c>
      <c r="BI35" t="e">
        <f>AND(DATASORT!#REF!,"AAAAAGfl3zw=")</f>
        <v>#REF!</v>
      </c>
      <c r="BJ35" t="e">
        <f>AND(DATASORT!#REF!,"AAAAAGfl3z0=")</f>
        <v>#REF!</v>
      </c>
      <c r="BK35" t="e">
        <f>AND(DATASORT!#REF!,"AAAAAGfl3z4=")</f>
        <v>#REF!</v>
      </c>
      <c r="BL35" t="e">
        <f>AND(DATASORT!#REF!,"AAAAAGfl3z8=")</f>
        <v>#REF!</v>
      </c>
      <c r="BM35" t="e">
        <f>AND(DATASORT!#REF!,"AAAAAGfl30A=")</f>
        <v>#REF!</v>
      </c>
      <c r="BN35" t="e">
        <f>AND(DATASORT!#REF!,"AAAAAGfl30E=")</f>
        <v>#REF!</v>
      </c>
      <c r="BO35" t="e">
        <f>IF(DATASORT!#REF!,"AAAAAGfl30I=",0)</f>
        <v>#REF!</v>
      </c>
      <c r="BP35" t="e">
        <f>AND(DATASORT!#REF!,"AAAAAGfl30M=")</f>
        <v>#REF!</v>
      </c>
      <c r="BQ35" t="e">
        <f>AND(DATASORT!#REF!,"AAAAAGfl30Q=")</f>
        <v>#REF!</v>
      </c>
      <c r="BR35" t="e">
        <f>AND(DATASORT!#REF!,"AAAAAGfl30U=")</f>
        <v>#REF!</v>
      </c>
      <c r="BS35" t="e">
        <f>AND(DATASORT!#REF!,"AAAAAGfl30Y=")</f>
        <v>#REF!</v>
      </c>
      <c r="BT35" t="e">
        <f>AND(DATASORT!#REF!,"AAAAAGfl30c=")</f>
        <v>#REF!</v>
      </c>
      <c r="BU35" t="e">
        <f>AND(DATASORT!#REF!,"AAAAAGfl30g=")</f>
        <v>#REF!</v>
      </c>
      <c r="BV35" t="e">
        <f>AND(DATASORT!#REF!,"AAAAAGfl30k=")</f>
        <v>#REF!</v>
      </c>
      <c r="BW35" t="e">
        <f>AND(DATASORT!#REF!,"AAAAAGfl30o=")</f>
        <v>#REF!</v>
      </c>
      <c r="BX35" t="e">
        <f>AND(DATASORT!#REF!,"AAAAAGfl30s=")</f>
        <v>#REF!</v>
      </c>
      <c r="BY35" t="e">
        <f>AND(DATASORT!#REF!,"AAAAAGfl30w=")</f>
        <v>#REF!</v>
      </c>
      <c r="BZ35" t="e">
        <f>AND(DATASORT!#REF!,"AAAAAGfl300=")</f>
        <v>#REF!</v>
      </c>
      <c r="CA35" t="e">
        <f>AND(DATASORT!#REF!,"AAAAAGfl304=")</f>
        <v>#REF!</v>
      </c>
      <c r="CB35" t="e">
        <f>AND(DATASORT!#REF!,"AAAAAGfl308=")</f>
        <v>#REF!</v>
      </c>
      <c r="CC35" t="e">
        <f>AND(DATASORT!#REF!,"AAAAAGfl31A=")</f>
        <v>#REF!</v>
      </c>
      <c r="CD35" t="e">
        <f>AND(DATASORT!#REF!,"AAAAAGfl31E=")</f>
        <v>#REF!</v>
      </c>
      <c r="CE35" t="e">
        <f>AND(DATASORT!#REF!,"AAAAAGfl31I=")</f>
        <v>#REF!</v>
      </c>
      <c r="CF35" t="e">
        <f>AND(DATASORT!#REF!,"AAAAAGfl31M=")</f>
        <v>#REF!</v>
      </c>
      <c r="CG35" t="e">
        <f>AND(DATASORT!#REF!,"AAAAAGfl31Q=")</f>
        <v>#REF!</v>
      </c>
      <c r="CH35" t="e">
        <f>AND(DATASORT!#REF!,"AAAAAGfl31U=")</f>
        <v>#REF!</v>
      </c>
      <c r="CI35" t="e">
        <f>AND(DATASORT!#REF!,"AAAAAGfl31Y=")</f>
        <v>#REF!</v>
      </c>
      <c r="CJ35" t="e">
        <f>AND(DATASORT!#REF!,"AAAAAGfl31c=")</f>
        <v>#REF!</v>
      </c>
      <c r="CK35" t="e">
        <f>AND(DATASORT!#REF!,"AAAAAGfl31g=")</f>
        <v>#REF!</v>
      </c>
      <c r="CL35" t="e">
        <f>AND(DATASORT!#REF!,"AAAAAGfl31k=")</f>
        <v>#REF!</v>
      </c>
      <c r="CM35" t="e">
        <f>AND(DATASORT!#REF!,"AAAAAGfl31o=")</f>
        <v>#REF!</v>
      </c>
      <c r="CN35" t="e">
        <f>AND(DATASORT!#REF!,"AAAAAGfl31s=")</f>
        <v>#REF!</v>
      </c>
      <c r="CO35" t="e">
        <f>AND(DATASORT!#REF!,"AAAAAGfl31w=")</f>
        <v>#REF!</v>
      </c>
      <c r="CP35" t="e">
        <f>AND(DATASORT!#REF!,"AAAAAGfl310=")</f>
        <v>#REF!</v>
      </c>
      <c r="CQ35" t="e">
        <f>IF(DATASORT!#REF!,"AAAAAGfl314=",0)</f>
        <v>#REF!</v>
      </c>
      <c r="CR35" t="e">
        <f>AND(DATASORT!#REF!,"AAAAAGfl318=")</f>
        <v>#REF!</v>
      </c>
      <c r="CS35" t="e">
        <f>AND(DATASORT!#REF!,"AAAAAGfl32A=")</f>
        <v>#REF!</v>
      </c>
      <c r="CT35" t="e">
        <f>AND(DATASORT!#REF!,"AAAAAGfl32E=")</f>
        <v>#REF!</v>
      </c>
      <c r="CU35" t="e">
        <f>AND(DATASORT!#REF!,"AAAAAGfl32I=")</f>
        <v>#REF!</v>
      </c>
      <c r="CV35" t="e">
        <f>AND(DATASORT!#REF!,"AAAAAGfl32M=")</f>
        <v>#REF!</v>
      </c>
      <c r="CW35" t="e">
        <f>AND(DATASORT!#REF!,"AAAAAGfl32Q=")</f>
        <v>#REF!</v>
      </c>
      <c r="CX35" t="e">
        <f>AND(DATASORT!#REF!,"AAAAAGfl32U=")</f>
        <v>#REF!</v>
      </c>
      <c r="CY35" t="e">
        <f>AND(DATASORT!#REF!,"AAAAAGfl32Y=")</f>
        <v>#REF!</v>
      </c>
      <c r="CZ35" t="e">
        <f>AND(DATASORT!#REF!,"AAAAAGfl32c=")</f>
        <v>#REF!</v>
      </c>
      <c r="DA35" t="e">
        <f>AND(DATASORT!#REF!,"AAAAAGfl32g=")</f>
        <v>#REF!</v>
      </c>
      <c r="DB35" t="e">
        <f>AND(DATASORT!#REF!,"AAAAAGfl32k=")</f>
        <v>#REF!</v>
      </c>
      <c r="DC35" t="e">
        <f>AND(DATASORT!#REF!,"AAAAAGfl32o=")</f>
        <v>#REF!</v>
      </c>
      <c r="DD35" t="e">
        <f>AND(DATASORT!#REF!,"AAAAAGfl32s=")</f>
        <v>#REF!</v>
      </c>
      <c r="DE35" t="e">
        <f>AND(DATASORT!#REF!,"AAAAAGfl32w=")</f>
        <v>#REF!</v>
      </c>
      <c r="DF35" t="e">
        <f>AND(DATASORT!#REF!,"AAAAAGfl320=")</f>
        <v>#REF!</v>
      </c>
      <c r="DG35" t="e">
        <f>AND(DATASORT!#REF!,"AAAAAGfl324=")</f>
        <v>#REF!</v>
      </c>
      <c r="DH35" t="e">
        <f>AND(DATASORT!#REF!,"AAAAAGfl328=")</f>
        <v>#REF!</v>
      </c>
      <c r="DI35" t="e">
        <f>AND(DATASORT!#REF!,"AAAAAGfl33A=")</f>
        <v>#REF!</v>
      </c>
      <c r="DJ35" t="e">
        <f>AND(DATASORT!#REF!,"AAAAAGfl33E=")</f>
        <v>#REF!</v>
      </c>
      <c r="DK35" t="e">
        <f>AND(DATASORT!#REF!,"AAAAAGfl33I=")</f>
        <v>#REF!</v>
      </c>
      <c r="DL35" t="e">
        <f>AND(DATASORT!#REF!,"AAAAAGfl33M=")</f>
        <v>#REF!</v>
      </c>
      <c r="DM35" t="e">
        <f>AND(DATASORT!#REF!,"AAAAAGfl33Q=")</f>
        <v>#REF!</v>
      </c>
      <c r="DN35" t="e">
        <f>AND(DATASORT!#REF!,"AAAAAGfl33U=")</f>
        <v>#REF!</v>
      </c>
      <c r="DO35" t="e">
        <f>AND(DATASORT!#REF!,"AAAAAGfl33Y=")</f>
        <v>#REF!</v>
      </c>
      <c r="DP35" t="e">
        <f>AND(DATASORT!#REF!,"AAAAAGfl33c=")</f>
        <v>#REF!</v>
      </c>
      <c r="DQ35" t="e">
        <f>AND(DATASORT!#REF!,"AAAAAGfl33g=")</f>
        <v>#REF!</v>
      </c>
      <c r="DR35" t="e">
        <f>AND(DATASORT!#REF!,"AAAAAGfl33k=")</f>
        <v>#REF!</v>
      </c>
      <c r="DS35" t="e">
        <f>IF(DATASORT!#REF!,"AAAAAGfl33o=",0)</f>
        <v>#REF!</v>
      </c>
      <c r="DT35" t="e">
        <f>AND(DATASORT!#REF!,"AAAAAGfl33s=")</f>
        <v>#REF!</v>
      </c>
      <c r="DU35" t="e">
        <f>AND(DATASORT!#REF!,"AAAAAGfl33w=")</f>
        <v>#REF!</v>
      </c>
      <c r="DV35" t="e">
        <f>AND(DATASORT!#REF!,"AAAAAGfl330=")</f>
        <v>#REF!</v>
      </c>
      <c r="DW35" t="e">
        <f>AND(DATASORT!#REF!,"AAAAAGfl334=")</f>
        <v>#REF!</v>
      </c>
      <c r="DX35" t="e">
        <f>AND(DATASORT!#REF!,"AAAAAGfl338=")</f>
        <v>#REF!</v>
      </c>
      <c r="DY35" t="e">
        <f>AND(DATASORT!#REF!,"AAAAAGfl34A=")</f>
        <v>#REF!</v>
      </c>
      <c r="DZ35" t="e">
        <f>AND(DATASORT!#REF!,"AAAAAGfl34E=")</f>
        <v>#REF!</v>
      </c>
      <c r="EA35" t="e">
        <f>AND(DATASORT!#REF!,"AAAAAGfl34I=")</f>
        <v>#REF!</v>
      </c>
      <c r="EB35" t="e">
        <f>AND(DATASORT!#REF!,"AAAAAGfl34M=")</f>
        <v>#REF!</v>
      </c>
      <c r="EC35" t="e">
        <f>AND(DATASORT!#REF!,"AAAAAGfl34Q=")</f>
        <v>#REF!</v>
      </c>
      <c r="ED35" t="e">
        <f>AND(DATASORT!#REF!,"AAAAAGfl34U=")</f>
        <v>#REF!</v>
      </c>
      <c r="EE35" t="e">
        <f>AND(DATASORT!#REF!,"AAAAAGfl34Y=")</f>
        <v>#REF!</v>
      </c>
      <c r="EF35" t="e">
        <f>AND(DATASORT!#REF!,"AAAAAGfl34c=")</f>
        <v>#REF!</v>
      </c>
      <c r="EG35" t="e">
        <f>AND(DATASORT!#REF!,"AAAAAGfl34g=")</f>
        <v>#REF!</v>
      </c>
      <c r="EH35" t="e">
        <f>AND(DATASORT!#REF!,"AAAAAGfl34k=")</f>
        <v>#REF!</v>
      </c>
      <c r="EI35" t="e">
        <f>AND(DATASORT!#REF!,"AAAAAGfl34o=")</f>
        <v>#REF!</v>
      </c>
      <c r="EJ35" t="e">
        <f>AND(DATASORT!#REF!,"AAAAAGfl34s=")</f>
        <v>#REF!</v>
      </c>
      <c r="EK35" t="e">
        <f>AND(DATASORT!#REF!,"AAAAAGfl34w=")</f>
        <v>#REF!</v>
      </c>
      <c r="EL35" t="e">
        <f>AND(DATASORT!#REF!,"AAAAAGfl340=")</f>
        <v>#REF!</v>
      </c>
      <c r="EM35" t="e">
        <f>AND(DATASORT!#REF!,"AAAAAGfl344=")</f>
        <v>#REF!</v>
      </c>
      <c r="EN35" t="e">
        <f>AND(DATASORT!#REF!,"AAAAAGfl348=")</f>
        <v>#REF!</v>
      </c>
      <c r="EO35" t="e">
        <f>AND(DATASORT!#REF!,"AAAAAGfl35A=")</f>
        <v>#REF!</v>
      </c>
      <c r="EP35" t="e">
        <f>AND(DATASORT!#REF!,"AAAAAGfl35E=")</f>
        <v>#REF!</v>
      </c>
      <c r="EQ35" t="e">
        <f>AND(DATASORT!#REF!,"AAAAAGfl35I=")</f>
        <v>#REF!</v>
      </c>
      <c r="ER35" t="e">
        <f>AND(DATASORT!#REF!,"AAAAAGfl35M=")</f>
        <v>#REF!</v>
      </c>
      <c r="ES35" t="e">
        <f>AND(DATASORT!#REF!,"AAAAAGfl35Q=")</f>
        <v>#REF!</v>
      </c>
      <c r="ET35" t="e">
        <f>AND(DATASORT!#REF!,"AAAAAGfl35U=")</f>
        <v>#REF!</v>
      </c>
      <c r="EU35" t="e">
        <f>IF(DATASORT!#REF!,"AAAAAGfl35Y=",0)</f>
        <v>#REF!</v>
      </c>
      <c r="EV35" t="e">
        <f>AND(DATASORT!#REF!,"AAAAAGfl35c=")</f>
        <v>#REF!</v>
      </c>
      <c r="EW35" t="e">
        <f>AND(DATASORT!#REF!,"AAAAAGfl35g=")</f>
        <v>#REF!</v>
      </c>
      <c r="EX35" t="e">
        <f>AND(DATASORT!#REF!,"AAAAAGfl35k=")</f>
        <v>#REF!</v>
      </c>
      <c r="EY35" t="e">
        <f>AND(DATASORT!#REF!,"AAAAAGfl35o=")</f>
        <v>#REF!</v>
      </c>
      <c r="EZ35" t="e">
        <f>AND(DATASORT!#REF!,"AAAAAGfl35s=")</f>
        <v>#REF!</v>
      </c>
      <c r="FA35" t="e">
        <f>AND(DATASORT!#REF!,"AAAAAGfl35w=")</f>
        <v>#REF!</v>
      </c>
      <c r="FB35" t="e">
        <f>AND(DATASORT!#REF!,"AAAAAGfl350=")</f>
        <v>#REF!</v>
      </c>
      <c r="FC35" t="e">
        <f>AND(DATASORT!#REF!,"AAAAAGfl354=")</f>
        <v>#REF!</v>
      </c>
      <c r="FD35" t="e">
        <f>AND(DATASORT!#REF!,"AAAAAGfl358=")</f>
        <v>#REF!</v>
      </c>
      <c r="FE35" t="e">
        <f>AND(DATASORT!#REF!,"AAAAAGfl36A=")</f>
        <v>#REF!</v>
      </c>
      <c r="FF35" t="e">
        <f>AND(DATASORT!#REF!,"AAAAAGfl36E=")</f>
        <v>#REF!</v>
      </c>
      <c r="FG35" t="e">
        <f>AND(DATASORT!#REF!,"AAAAAGfl36I=")</f>
        <v>#REF!</v>
      </c>
      <c r="FH35" t="e">
        <f>AND(DATASORT!#REF!,"AAAAAGfl36M=")</f>
        <v>#REF!</v>
      </c>
      <c r="FI35" t="e">
        <f>AND(DATASORT!#REF!,"AAAAAGfl36Q=")</f>
        <v>#REF!</v>
      </c>
      <c r="FJ35" t="e">
        <f>AND(DATASORT!#REF!,"AAAAAGfl36U=")</f>
        <v>#REF!</v>
      </c>
      <c r="FK35" t="e">
        <f>AND(DATASORT!#REF!,"AAAAAGfl36Y=")</f>
        <v>#REF!</v>
      </c>
      <c r="FL35" t="e">
        <f>AND(DATASORT!#REF!,"AAAAAGfl36c=")</f>
        <v>#REF!</v>
      </c>
      <c r="FM35" t="e">
        <f>AND(DATASORT!#REF!,"AAAAAGfl36g=")</f>
        <v>#REF!</v>
      </c>
      <c r="FN35" t="e">
        <f>AND(DATASORT!#REF!,"AAAAAGfl36k=")</f>
        <v>#REF!</v>
      </c>
      <c r="FO35" t="e">
        <f>AND(DATASORT!#REF!,"AAAAAGfl36o=")</f>
        <v>#REF!</v>
      </c>
      <c r="FP35" t="e">
        <f>AND(DATASORT!#REF!,"AAAAAGfl36s=")</f>
        <v>#REF!</v>
      </c>
      <c r="FQ35" t="e">
        <f>AND(DATASORT!#REF!,"AAAAAGfl36w=")</f>
        <v>#REF!</v>
      </c>
      <c r="FR35" t="e">
        <f>AND(DATASORT!#REF!,"AAAAAGfl360=")</f>
        <v>#REF!</v>
      </c>
      <c r="FS35" t="e">
        <f>AND(DATASORT!#REF!,"AAAAAGfl364=")</f>
        <v>#REF!</v>
      </c>
      <c r="FT35" t="e">
        <f>AND(DATASORT!#REF!,"AAAAAGfl368=")</f>
        <v>#REF!</v>
      </c>
      <c r="FU35" t="e">
        <f>AND(DATASORT!#REF!,"AAAAAGfl37A=")</f>
        <v>#REF!</v>
      </c>
      <c r="FV35" t="e">
        <f>AND(DATASORT!#REF!,"AAAAAGfl37E=")</f>
        <v>#REF!</v>
      </c>
      <c r="FW35" t="e">
        <f>IF(DATASORT!#REF!,"AAAAAGfl37I=",0)</f>
        <v>#REF!</v>
      </c>
      <c r="FX35" t="e">
        <f>AND(DATASORT!#REF!,"AAAAAGfl37M=")</f>
        <v>#REF!</v>
      </c>
      <c r="FY35" t="e">
        <f>AND(DATASORT!#REF!,"AAAAAGfl37Q=")</f>
        <v>#REF!</v>
      </c>
      <c r="FZ35" t="e">
        <f>AND(DATASORT!#REF!,"AAAAAGfl37U=")</f>
        <v>#REF!</v>
      </c>
      <c r="GA35" t="e">
        <f>AND(DATASORT!#REF!,"AAAAAGfl37Y=")</f>
        <v>#REF!</v>
      </c>
      <c r="GB35" t="e">
        <f>AND(DATASORT!#REF!,"AAAAAGfl37c=")</f>
        <v>#REF!</v>
      </c>
      <c r="GC35" t="e">
        <f>AND(DATASORT!#REF!,"AAAAAGfl37g=")</f>
        <v>#REF!</v>
      </c>
      <c r="GD35" t="e">
        <f>AND(DATASORT!#REF!,"AAAAAGfl37k=")</f>
        <v>#REF!</v>
      </c>
      <c r="GE35" t="e">
        <f>AND(DATASORT!#REF!,"AAAAAGfl37o=")</f>
        <v>#REF!</v>
      </c>
      <c r="GF35" t="e">
        <f>AND(DATASORT!#REF!,"AAAAAGfl37s=")</f>
        <v>#REF!</v>
      </c>
      <c r="GG35" t="e">
        <f>AND(DATASORT!#REF!,"AAAAAGfl37w=")</f>
        <v>#REF!</v>
      </c>
      <c r="GH35" t="e">
        <f>AND(DATASORT!#REF!,"AAAAAGfl370=")</f>
        <v>#REF!</v>
      </c>
      <c r="GI35" t="e">
        <f>AND(DATASORT!#REF!,"AAAAAGfl374=")</f>
        <v>#REF!</v>
      </c>
      <c r="GJ35" t="e">
        <f>AND(DATASORT!#REF!,"AAAAAGfl378=")</f>
        <v>#REF!</v>
      </c>
      <c r="GK35" t="e">
        <f>AND(DATASORT!#REF!,"AAAAAGfl38A=")</f>
        <v>#REF!</v>
      </c>
      <c r="GL35" t="e">
        <f>AND(DATASORT!#REF!,"AAAAAGfl38E=")</f>
        <v>#REF!</v>
      </c>
      <c r="GM35" t="e">
        <f>AND(DATASORT!#REF!,"AAAAAGfl38I=")</f>
        <v>#REF!</v>
      </c>
      <c r="GN35" t="e">
        <f>AND(DATASORT!#REF!,"AAAAAGfl38M=")</f>
        <v>#REF!</v>
      </c>
      <c r="GO35" t="e">
        <f>AND(DATASORT!#REF!,"AAAAAGfl38Q=")</f>
        <v>#REF!</v>
      </c>
      <c r="GP35" t="e">
        <f>AND(DATASORT!#REF!,"AAAAAGfl38U=")</f>
        <v>#REF!</v>
      </c>
      <c r="GQ35" t="e">
        <f>AND(DATASORT!#REF!,"AAAAAGfl38Y=")</f>
        <v>#REF!</v>
      </c>
      <c r="GR35" t="e">
        <f>AND(DATASORT!#REF!,"AAAAAGfl38c=")</f>
        <v>#REF!</v>
      </c>
      <c r="GS35" t="e">
        <f>AND(DATASORT!#REF!,"AAAAAGfl38g=")</f>
        <v>#REF!</v>
      </c>
      <c r="GT35" t="e">
        <f>AND(DATASORT!#REF!,"AAAAAGfl38k=")</f>
        <v>#REF!</v>
      </c>
      <c r="GU35" t="e">
        <f>AND(DATASORT!#REF!,"AAAAAGfl38o=")</f>
        <v>#REF!</v>
      </c>
      <c r="GV35" t="e">
        <f>AND(DATASORT!#REF!,"AAAAAGfl38s=")</f>
        <v>#REF!</v>
      </c>
      <c r="GW35" t="e">
        <f>AND(DATASORT!#REF!,"AAAAAGfl38w=")</f>
        <v>#REF!</v>
      </c>
      <c r="GX35" t="e">
        <f>AND(DATASORT!#REF!,"AAAAAGfl380=")</f>
        <v>#REF!</v>
      </c>
      <c r="GY35" t="e">
        <f>IF(DATASORT!#REF!,"AAAAAGfl384=",0)</f>
        <v>#REF!</v>
      </c>
      <c r="GZ35" t="e">
        <f>AND(DATASORT!#REF!,"AAAAAGfl388=")</f>
        <v>#REF!</v>
      </c>
      <c r="HA35" t="e">
        <f>AND(DATASORT!#REF!,"AAAAAGfl39A=")</f>
        <v>#REF!</v>
      </c>
      <c r="HB35" t="e">
        <f>AND(DATASORT!#REF!,"AAAAAGfl39E=")</f>
        <v>#REF!</v>
      </c>
      <c r="HC35" t="e">
        <f>AND(DATASORT!#REF!,"AAAAAGfl39I=")</f>
        <v>#REF!</v>
      </c>
      <c r="HD35" t="e">
        <f>AND(DATASORT!#REF!,"AAAAAGfl39M=")</f>
        <v>#REF!</v>
      </c>
      <c r="HE35" t="e">
        <f>AND(DATASORT!#REF!,"AAAAAGfl39Q=")</f>
        <v>#REF!</v>
      </c>
      <c r="HF35" t="e">
        <f>AND(DATASORT!#REF!,"AAAAAGfl39U=")</f>
        <v>#REF!</v>
      </c>
      <c r="HG35" t="e">
        <f>AND(DATASORT!#REF!,"AAAAAGfl39Y=")</f>
        <v>#REF!</v>
      </c>
      <c r="HH35" t="e">
        <f>AND(DATASORT!#REF!,"AAAAAGfl39c=")</f>
        <v>#REF!</v>
      </c>
      <c r="HI35" t="e">
        <f>AND(DATASORT!#REF!,"AAAAAGfl39g=")</f>
        <v>#REF!</v>
      </c>
      <c r="HJ35" t="e">
        <f>AND(DATASORT!#REF!,"AAAAAGfl39k=")</f>
        <v>#REF!</v>
      </c>
      <c r="HK35" t="e">
        <f>AND(DATASORT!#REF!,"AAAAAGfl39o=")</f>
        <v>#REF!</v>
      </c>
      <c r="HL35" t="e">
        <f>AND(DATASORT!#REF!,"AAAAAGfl39s=")</f>
        <v>#REF!</v>
      </c>
      <c r="HM35" t="e">
        <f>AND(DATASORT!#REF!,"AAAAAGfl39w=")</f>
        <v>#REF!</v>
      </c>
      <c r="HN35" t="e">
        <f>AND(DATASORT!#REF!,"AAAAAGfl390=")</f>
        <v>#REF!</v>
      </c>
      <c r="HO35" t="e">
        <f>AND(DATASORT!#REF!,"AAAAAGfl394=")</f>
        <v>#REF!</v>
      </c>
      <c r="HP35" t="e">
        <f>AND(DATASORT!#REF!,"AAAAAGfl398=")</f>
        <v>#REF!</v>
      </c>
      <c r="HQ35" t="e">
        <f>AND(DATASORT!#REF!,"AAAAAGfl3+A=")</f>
        <v>#REF!</v>
      </c>
      <c r="HR35" t="e">
        <f>AND(DATASORT!#REF!,"AAAAAGfl3+E=")</f>
        <v>#REF!</v>
      </c>
      <c r="HS35" t="e">
        <f>AND(DATASORT!#REF!,"AAAAAGfl3+I=")</f>
        <v>#REF!</v>
      </c>
      <c r="HT35" t="e">
        <f>AND(DATASORT!#REF!,"AAAAAGfl3+M=")</f>
        <v>#REF!</v>
      </c>
      <c r="HU35" t="e">
        <f>AND(DATASORT!#REF!,"AAAAAGfl3+Q=")</f>
        <v>#REF!</v>
      </c>
      <c r="HV35" t="e">
        <f>AND(DATASORT!#REF!,"AAAAAGfl3+U=")</f>
        <v>#REF!</v>
      </c>
      <c r="HW35" t="e">
        <f>AND(DATASORT!#REF!,"AAAAAGfl3+Y=")</f>
        <v>#REF!</v>
      </c>
      <c r="HX35" t="e">
        <f>AND(DATASORT!#REF!,"AAAAAGfl3+c=")</f>
        <v>#REF!</v>
      </c>
      <c r="HY35" t="e">
        <f>AND(DATASORT!#REF!,"AAAAAGfl3+g=")</f>
        <v>#REF!</v>
      </c>
      <c r="HZ35" t="e">
        <f>AND(DATASORT!#REF!,"AAAAAGfl3+k=")</f>
        <v>#REF!</v>
      </c>
      <c r="IA35" t="e">
        <f>IF(DATASORT!#REF!,"AAAAAGfl3+o=",0)</f>
        <v>#REF!</v>
      </c>
      <c r="IB35" t="e">
        <f>AND(DATASORT!#REF!,"AAAAAGfl3+s=")</f>
        <v>#REF!</v>
      </c>
      <c r="IC35" t="e">
        <f>AND(DATASORT!#REF!,"AAAAAGfl3+w=")</f>
        <v>#REF!</v>
      </c>
      <c r="ID35" t="e">
        <f>AND(DATASORT!#REF!,"AAAAAGfl3+0=")</f>
        <v>#REF!</v>
      </c>
      <c r="IE35" t="e">
        <f>AND(DATASORT!#REF!,"AAAAAGfl3+4=")</f>
        <v>#REF!</v>
      </c>
      <c r="IF35" t="e">
        <f>AND(DATASORT!#REF!,"AAAAAGfl3+8=")</f>
        <v>#REF!</v>
      </c>
      <c r="IG35" t="e">
        <f>AND(DATASORT!#REF!,"AAAAAGfl3/A=")</f>
        <v>#REF!</v>
      </c>
      <c r="IH35" t="e">
        <f>AND(DATASORT!#REF!,"AAAAAGfl3/E=")</f>
        <v>#REF!</v>
      </c>
      <c r="II35" t="e">
        <f>AND(DATASORT!#REF!,"AAAAAGfl3/I=")</f>
        <v>#REF!</v>
      </c>
      <c r="IJ35" t="e">
        <f>AND(DATASORT!#REF!,"AAAAAGfl3/M=")</f>
        <v>#REF!</v>
      </c>
      <c r="IK35" t="e">
        <f>AND(DATASORT!#REF!,"AAAAAGfl3/Q=")</f>
        <v>#REF!</v>
      </c>
      <c r="IL35" t="e">
        <f>AND(DATASORT!#REF!,"AAAAAGfl3/U=")</f>
        <v>#REF!</v>
      </c>
      <c r="IM35" t="e">
        <f>AND(DATASORT!#REF!,"AAAAAGfl3/Y=")</f>
        <v>#REF!</v>
      </c>
      <c r="IN35" t="e">
        <f>AND(DATASORT!#REF!,"AAAAAGfl3/c=")</f>
        <v>#REF!</v>
      </c>
      <c r="IO35" t="e">
        <f>AND(DATASORT!#REF!,"AAAAAGfl3/g=")</f>
        <v>#REF!</v>
      </c>
      <c r="IP35" t="e">
        <f>AND(DATASORT!#REF!,"AAAAAGfl3/k=")</f>
        <v>#REF!</v>
      </c>
      <c r="IQ35" t="e">
        <f>AND(DATASORT!#REF!,"AAAAAGfl3/o=")</f>
        <v>#REF!</v>
      </c>
      <c r="IR35" t="e">
        <f>AND(DATASORT!#REF!,"AAAAAGfl3/s=")</f>
        <v>#REF!</v>
      </c>
      <c r="IS35" t="e">
        <f>AND(DATASORT!#REF!,"AAAAAGfl3/w=")</f>
        <v>#REF!</v>
      </c>
      <c r="IT35" t="e">
        <f>AND(DATASORT!#REF!,"AAAAAGfl3/0=")</f>
        <v>#REF!</v>
      </c>
      <c r="IU35" t="e">
        <f>AND(DATASORT!#REF!,"AAAAAGfl3/4=")</f>
        <v>#REF!</v>
      </c>
      <c r="IV35" t="e">
        <f>AND(DATASORT!#REF!,"AAAAAGfl3/8=")</f>
        <v>#REF!</v>
      </c>
    </row>
    <row r="36" spans="1:256">
      <c r="A36" t="e">
        <f>AND(DATASORT!#REF!,"AAAAAH3vogA=")</f>
        <v>#REF!</v>
      </c>
      <c r="B36" t="e">
        <f>AND(DATASORT!#REF!,"AAAAAH3vogE=")</f>
        <v>#REF!</v>
      </c>
      <c r="C36" t="e">
        <f>AND(DATASORT!#REF!,"AAAAAH3vogI=")</f>
        <v>#REF!</v>
      </c>
      <c r="D36" t="e">
        <f>AND(DATASORT!#REF!,"AAAAAH3vogM=")</f>
        <v>#REF!</v>
      </c>
      <c r="E36" t="e">
        <f>AND(DATASORT!#REF!,"AAAAAH3vogQ=")</f>
        <v>#REF!</v>
      </c>
      <c r="F36" t="e">
        <f>AND(DATASORT!#REF!,"AAAAAH3vogU=")</f>
        <v>#REF!</v>
      </c>
      <c r="G36" t="e">
        <f>IF(DATASORT!#REF!,"AAAAAH3vogY=",0)</f>
        <v>#REF!</v>
      </c>
      <c r="H36" t="e">
        <f>AND(DATASORT!#REF!,"AAAAAH3vogc=")</f>
        <v>#REF!</v>
      </c>
      <c r="I36" t="e">
        <f>AND(DATASORT!#REF!,"AAAAAH3vogg=")</f>
        <v>#REF!</v>
      </c>
      <c r="J36" t="e">
        <f>AND(DATASORT!#REF!,"AAAAAH3vogk=")</f>
        <v>#REF!</v>
      </c>
      <c r="K36" t="e">
        <f>AND(DATASORT!#REF!,"AAAAAH3vogo=")</f>
        <v>#REF!</v>
      </c>
      <c r="L36" t="e">
        <f>AND(DATASORT!#REF!,"AAAAAH3vogs=")</f>
        <v>#REF!</v>
      </c>
      <c r="M36" t="e">
        <f>AND(DATASORT!#REF!,"AAAAAH3vogw=")</f>
        <v>#REF!</v>
      </c>
      <c r="N36" t="e">
        <f>AND(DATASORT!#REF!,"AAAAAH3vog0=")</f>
        <v>#REF!</v>
      </c>
      <c r="O36" t="e">
        <f>AND(DATASORT!#REF!,"AAAAAH3vog4=")</f>
        <v>#REF!</v>
      </c>
      <c r="P36" t="e">
        <f>AND(DATASORT!#REF!,"AAAAAH3vog8=")</f>
        <v>#REF!</v>
      </c>
      <c r="Q36" t="e">
        <f>AND(DATASORT!#REF!,"AAAAAH3vohA=")</f>
        <v>#REF!</v>
      </c>
      <c r="R36" t="e">
        <f>AND(DATASORT!#REF!,"AAAAAH3vohE=")</f>
        <v>#REF!</v>
      </c>
      <c r="S36" t="e">
        <f>AND(DATASORT!#REF!,"AAAAAH3vohI=")</f>
        <v>#REF!</v>
      </c>
      <c r="T36" t="e">
        <f>AND(DATASORT!#REF!,"AAAAAH3vohM=")</f>
        <v>#REF!</v>
      </c>
      <c r="U36" t="e">
        <f>AND(DATASORT!#REF!,"AAAAAH3vohQ=")</f>
        <v>#REF!</v>
      </c>
      <c r="V36" t="e">
        <f>AND(DATASORT!#REF!,"AAAAAH3vohU=")</f>
        <v>#REF!</v>
      </c>
      <c r="W36" t="e">
        <f>AND(DATASORT!#REF!,"AAAAAH3vohY=")</f>
        <v>#REF!</v>
      </c>
      <c r="X36" t="e">
        <f>AND(DATASORT!#REF!,"AAAAAH3vohc=")</f>
        <v>#REF!</v>
      </c>
      <c r="Y36" t="e">
        <f>AND(DATASORT!#REF!,"AAAAAH3vohg=")</f>
        <v>#REF!</v>
      </c>
      <c r="Z36" t="e">
        <f>AND(DATASORT!#REF!,"AAAAAH3vohk=")</f>
        <v>#REF!</v>
      </c>
      <c r="AA36" t="e">
        <f>AND(DATASORT!#REF!,"AAAAAH3voho=")</f>
        <v>#REF!</v>
      </c>
      <c r="AB36" t="e">
        <f>AND(DATASORT!#REF!,"AAAAAH3vohs=")</f>
        <v>#REF!</v>
      </c>
      <c r="AC36" t="e">
        <f>AND(DATASORT!#REF!,"AAAAAH3vohw=")</f>
        <v>#REF!</v>
      </c>
      <c r="AD36" t="e">
        <f>AND(DATASORT!#REF!,"AAAAAH3voh0=")</f>
        <v>#REF!</v>
      </c>
      <c r="AE36" t="e">
        <f>AND(DATASORT!#REF!,"AAAAAH3voh4=")</f>
        <v>#REF!</v>
      </c>
      <c r="AF36" t="e">
        <f>AND(DATASORT!#REF!,"AAAAAH3voh8=")</f>
        <v>#REF!</v>
      </c>
      <c r="AG36" t="e">
        <f>AND(DATASORT!#REF!,"AAAAAH3voiA=")</f>
        <v>#REF!</v>
      </c>
      <c r="AH36" t="e">
        <f>AND(DATASORT!#REF!,"AAAAAH3voiE=")</f>
        <v>#REF!</v>
      </c>
      <c r="AI36" t="e">
        <f>IF(DATASORT!#REF!,"AAAAAH3voiI=",0)</f>
        <v>#REF!</v>
      </c>
      <c r="AJ36" t="e">
        <f>AND(DATASORT!#REF!,"AAAAAH3voiM=")</f>
        <v>#REF!</v>
      </c>
      <c r="AK36" t="e">
        <f>AND(DATASORT!#REF!,"AAAAAH3voiQ=")</f>
        <v>#REF!</v>
      </c>
      <c r="AL36" t="e">
        <f>AND(DATASORT!#REF!,"AAAAAH3voiU=")</f>
        <v>#REF!</v>
      </c>
      <c r="AM36" t="e">
        <f>AND(DATASORT!#REF!,"AAAAAH3voiY=")</f>
        <v>#REF!</v>
      </c>
      <c r="AN36" t="e">
        <f>AND(DATASORT!#REF!,"AAAAAH3voic=")</f>
        <v>#REF!</v>
      </c>
      <c r="AO36" t="e">
        <f>AND(DATASORT!#REF!,"AAAAAH3voig=")</f>
        <v>#REF!</v>
      </c>
      <c r="AP36" t="e">
        <f>AND(DATASORT!#REF!,"AAAAAH3voik=")</f>
        <v>#REF!</v>
      </c>
      <c r="AQ36" t="e">
        <f>AND(DATASORT!#REF!,"AAAAAH3voio=")</f>
        <v>#REF!</v>
      </c>
      <c r="AR36" t="e">
        <f>AND(DATASORT!#REF!,"AAAAAH3vois=")</f>
        <v>#REF!</v>
      </c>
      <c r="AS36" t="e">
        <f>AND(DATASORT!#REF!,"AAAAAH3voiw=")</f>
        <v>#REF!</v>
      </c>
      <c r="AT36" t="e">
        <f>AND(DATASORT!#REF!,"AAAAAH3voi0=")</f>
        <v>#REF!</v>
      </c>
      <c r="AU36" t="e">
        <f>AND(DATASORT!#REF!,"AAAAAH3voi4=")</f>
        <v>#REF!</v>
      </c>
      <c r="AV36" t="e">
        <f>AND(DATASORT!#REF!,"AAAAAH3voi8=")</f>
        <v>#REF!</v>
      </c>
      <c r="AW36" t="e">
        <f>AND(DATASORT!#REF!,"AAAAAH3vojA=")</f>
        <v>#REF!</v>
      </c>
      <c r="AX36" t="e">
        <f>AND(DATASORT!#REF!,"AAAAAH3vojE=")</f>
        <v>#REF!</v>
      </c>
      <c r="AY36" t="e">
        <f>AND(DATASORT!#REF!,"AAAAAH3vojI=")</f>
        <v>#REF!</v>
      </c>
      <c r="AZ36" t="e">
        <f>AND(DATASORT!#REF!,"AAAAAH3vojM=")</f>
        <v>#REF!</v>
      </c>
      <c r="BA36" t="e">
        <f>AND(DATASORT!#REF!,"AAAAAH3vojQ=")</f>
        <v>#REF!</v>
      </c>
      <c r="BB36" t="e">
        <f>AND(DATASORT!#REF!,"AAAAAH3vojU=")</f>
        <v>#REF!</v>
      </c>
      <c r="BC36" t="e">
        <f>AND(DATASORT!#REF!,"AAAAAH3vojY=")</f>
        <v>#REF!</v>
      </c>
      <c r="BD36" t="e">
        <f>AND(DATASORT!#REF!,"AAAAAH3vojc=")</f>
        <v>#REF!</v>
      </c>
      <c r="BE36" t="e">
        <f>AND(DATASORT!#REF!,"AAAAAH3vojg=")</f>
        <v>#REF!</v>
      </c>
      <c r="BF36" t="e">
        <f>AND(DATASORT!#REF!,"AAAAAH3vojk=")</f>
        <v>#REF!</v>
      </c>
      <c r="BG36" t="e">
        <f>AND(DATASORT!#REF!,"AAAAAH3vojo=")</f>
        <v>#REF!</v>
      </c>
      <c r="BH36" t="e">
        <f>AND(DATASORT!#REF!,"AAAAAH3vojs=")</f>
        <v>#REF!</v>
      </c>
      <c r="BI36" t="e">
        <f>AND(DATASORT!#REF!,"AAAAAH3vojw=")</f>
        <v>#REF!</v>
      </c>
      <c r="BJ36" t="e">
        <f>AND(DATASORT!#REF!,"AAAAAH3voj0=")</f>
        <v>#REF!</v>
      </c>
      <c r="BK36" t="e">
        <f>IF(DATASORT!#REF!,"AAAAAH3voj4=",0)</f>
        <v>#REF!</v>
      </c>
      <c r="BL36" t="e">
        <f>AND(DATASORT!#REF!,"AAAAAH3voj8=")</f>
        <v>#REF!</v>
      </c>
      <c r="BM36" t="e">
        <f>AND(DATASORT!#REF!,"AAAAAH3vokA=")</f>
        <v>#REF!</v>
      </c>
      <c r="BN36" t="e">
        <f>AND(DATASORT!#REF!,"AAAAAH3vokE=")</f>
        <v>#REF!</v>
      </c>
      <c r="BO36" t="e">
        <f>AND(DATASORT!#REF!,"AAAAAH3vokI=")</f>
        <v>#REF!</v>
      </c>
      <c r="BP36" t="e">
        <f>AND(DATASORT!#REF!,"AAAAAH3vokM=")</f>
        <v>#REF!</v>
      </c>
      <c r="BQ36" t="e">
        <f>AND(DATASORT!#REF!,"AAAAAH3vokQ=")</f>
        <v>#REF!</v>
      </c>
      <c r="BR36" t="e">
        <f>AND(DATASORT!#REF!,"AAAAAH3vokU=")</f>
        <v>#REF!</v>
      </c>
      <c r="BS36" t="e">
        <f>AND(DATASORT!#REF!,"AAAAAH3vokY=")</f>
        <v>#REF!</v>
      </c>
      <c r="BT36" t="e">
        <f>AND(DATASORT!#REF!,"AAAAAH3vokc=")</f>
        <v>#REF!</v>
      </c>
      <c r="BU36" t="e">
        <f>AND(DATASORT!#REF!,"AAAAAH3vokg=")</f>
        <v>#REF!</v>
      </c>
      <c r="BV36" t="e">
        <f>AND(DATASORT!#REF!,"AAAAAH3vokk=")</f>
        <v>#REF!</v>
      </c>
      <c r="BW36" t="e">
        <f>AND(DATASORT!#REF!,"AAAAAH3voko=")</f>
        <v>#REF!</v>
      </c>
      <c r="BX36" t="e">
        <f>AND(DATASORT!#REF!,"AAAAAH3voks=")</f>
        <v>#REF!</v>
      </c>
      <c r="BY36" t="e">
        <f>AND(DATASORT!#REF!,"AAAAAH3vokw=")</f>
        <v>#REF!</v>
      </c>
      <c r="BZ36" t="e">
        <f>AND(DATASORT!#REF!,"AAAAAH3vok0=")</f>
        <v>#REF!</v>
      </c>
      <c r="CA36" t="e">
        <f>AND(DATASORT!#REF!,"AAAAAH3vok4=")</f>
        <v>#REF!</v>
      </c>
      <c r="CB36" t="e">
        <f>AND(DATASORT!#REF!,"AAAAAH3vok8=")</f>
        <v>#REF!</v>
      </c>
      <c r="CC36" t="e">
        <f>AND(DATASORT!#REF!,"AAAAAH3volA=")</f>
        <v>#REF!</v>
      </c>
      <c r="CD36" t="e">
        <f>AND(DATASORT!#REF!,"AAAAAH3volE=")</f>
        <v>#REF!</v>
      </c>
      <c r="CE36" t="e">
        <f>AND(DATASORT!#REF!,"AAAAAH3volI=")</f>
        <v>#REF!</v>
      </c>
      <c r="CF36" t="e">
        <f>AND(DATASORT!#REF!,"AAAAAH3volM=")</f>
        <v>#REF!</v>
      </c>
      <c r="CG36" t="e">
        <f>AND(DATASORT!#REF!,"AAAAAH3volQ=")</f>
        <v>#REF!</v>
      </c>
      <c r="CH36" t="e">
        <f>AND(DATASORT!#REF!,"AAAAAH3volU=")</f>
        <v>#REF!</v>
      </c>
      <c r="CI36" t="e">
        <f>AND(DATASORT!#REF!,"AAAAAH3volY=")</f>
        <v>#REF!</v>
      </c>
      <c r="CJ36" t="e">
        <f>AND(DATASORT!#REF!,"AAAAAH3volc=")</f>
        <v>#REF!</v>
      </c>
      <c r="CK36" t="e">
        <f>AND(DATASORT!#REF!,"AAAAAH3volg=")</f>
        <v>#REF!</v>
      </c>
      <c r="CL36" t="e">
        <f>AND(DATASORT!#REF!,"AAAAAH3volk=")</f>
        <v>#REF!</v>
      </c>
      <c r="CM36" t="e">
        <f>IF(DATASORT!#REF!,"AAAAAH3volo=",0)</f>
        <v>#REF!</v>
      </c>
      <c r="CN36" t="e">
        <f>AND(DATASORT!#REF!,"AAAAAH3vols=")</f>
        <v>#REF!</v>
      </c>
      <c r="CO36" t="e">
        <f>AND(DATASORT!#REF!,"AAAAAH3volw=")</f>
        <v>#REF!</v>
      </c>
      <c r="CP36" t="e">
        <f>AND(DATASORT!#REF!,"AAAAAH3vol0=")</f>
        <v>#REF!</v>
      </c>
      <c r="CQ36" t="e">
        <f>AND(DATASORT!#REF!,"AAAAAH3vol4=")</f>
        <v>#REF!</v>
      </c>
      <c r="CR36" t="e">
        <f>AND(DATASORT!#REF!,"AAAAAH3vol8=")</f>
        <v>#REF!</v>
      </c>
      <c r="CS36" t="e">
        <f>AND(DATASORT!#REF!,"AAAAAH3vomA=")</f>
        <v>#REF!</v>
      </c>
      <c r="CT36" t="e">
        <f>AND(DATASORT!#REF!,"AAAAAH3vomE=")</f>
        <v>#REF!</v>
      </c>
      <c r="CU36" t="e">
        <f>AND(DATASORT!#REF!,"AAAAAH3vomI=")</f>
        <v>#REF!</v>
      </c>
      <c r="CV36" t="e">
        <f>AND(DATASORT!#REF!,"AAAAAH3vomM=")</f>
        <v>#REF!</v>
      </c>
      <c r="CW36" t="e">
        <f>AND(DATASORT!#REF!,"AAAAAH3vomQ=")</f>
        <v>#REF!</v>
      </c>
      <c r="CX36" t="e">
        <f>AND(DATASORT!#REF!,"AAAAAH3vomU=")</f>
        <v>#REF!</v>
      </c>
      <c r="CY36" t="e">
        <f>AND(DATASORT!#REF!,"AAAAAH3vomY=")</f>
        <v>#REF!</v>
      </c>
      <c r="CZ36" t="e">
        <f>AND(DATASORT!#REF!,"AAAAAH3vomc=")</f>
        <v>#REF!</v>
      </c>
      <c r="DA36" t="e">
        <f>AND(DATASORT!#REF!,"AAAAAH3vomg=")</f>
        <v>#REF!</v>
      </c>
      <c r="DB36" t="e">
        <f>AND(DATASORT!#REF!,"AAAAAH3vomk=")</f>
        <v>#REF!</v>
      </c>
      <c r="DC36" t="e">
        <f>AND(DATASORT!#REF!,"AAAAAH3vomo=")</f>
        <v>#REF!</v>
      </c>
      <c r="DD36" t="e">
        <f>AND(DATASORT!#REF!,"AAAAAH3voms=")</f>
        <v>#REF!</v>
      </c>
      <c r="DE36" t="e">
        <f>AND(DATASORT!#REF!,"AAAAAH3vomw=")</f>
        <v>#REF!</v>
      </c>
      <c r="DF36" t="e">
        <f>AND(DATASORT!#REF!,"AAAAAH3vom0=")</f>
        <v>#REF!</v>
      </c>
      <c r="DG36" t="e">
        <f>AND(DATASORT!#REF!,"AAAAAH3vom4=")</f>
        <v>#REF!</v>
      </c>
      <c r="DH36" t="e">
        <f>AND(DATASORT!#REF!,"AAAAAH3vom8=")</f>
        <v>#REF!</v>
      </c>
      <c r="DI36" t="e">
        <f>AND(DATASORT!#REF!,"AAAAAH3vonA=")</f>
        <v>#REF!</v>
      </c>
      <c r="DJ36" t="e">
        <f>AND(DATASORT!#REF!,"AAAAAH3vonE=")</f>
        <v>#REF!</v>
      </c>
      <c r="DK36" t="e">
        <f>AND(DATASORT!#REF!,"AAAAAH3vonI=")</f>
        <v>#REF!</v>
      </c>
      <c r="DL36" t="e">
        <f>AND(DATASORT!#REF!,"AAAAAH3vonM=")</f>
        <v>#REF!</v>
      </c>
      <c r="DM36" t="e">
        <f>AND(DATASORT!#REF!,"AAAAAH3vonQ=")</f>
        <v>#REF!</v>
      </c>
      <c r="DN36" t="e">
        <f>AND(DATASORT!#REF!,"AAAAAH3vonU=")</f>
        <v>#REF!</v>
      </c>
      <c r="DO36" t="e">
        <f>IF(DATASORT!#REF!,"AAAAAH3vonY=",0)</f>
        <v>#REF!</v>
      </c>
      <c r="DP36" t="e">
        <f>AND(DATASORT!#REF!,"AAAAAH3vonc=")</f>
        <v>#REF!</v>
      </c>
      <c r="DQ36" t="e">
        <f>AND(DATASORT!#REF!,"AAAAAH3vong=")</f>
        <v>#REF!</v>
      </c>
      <c r="DR36" t="e">
        <f>AND(DATASORT!#REF!,"AAAAAH3vonk=")</f>
        <v>#REF!</v>
      </c>
      <c r="DS36" t="e">
        <f>AND(DATASORT!#REF!,"AAAAAH3vono=")</f>
        <v>#REF!</v>
      </c>
      <c r="DT36" t="e">
        <f>AND(DATASORT!#REF!,"AAAAAH3vons=")</f>
        <v>#REF!</v>
      </c>
      <c r="DU36" t="e">
        <f>AND(DATASORT!#REF!,"AAAAAH3vonw=")</f>
        <v>#REF!</v>
      </c>
      <c r="DV36" t="e">
        <f>AND(DATASORT!#REF!,"AAAAAH3von0=")</f>
        <v>#REF!</v>
      </c>
      <c r="DW36" t="e">
        <f>AND(DATASORT!#REF!,"AAAAAH3von4=")</f>
        <v>#REF!</v>
      </c>
      <c r="DX36" t="e">
        <f>AND(DATASORT!#REF!,"AAAAAH3von8=")</f>
        <v>#REF!</v>
      </c>
      <c r="DY36" t="e">
        <f>AND(DATASORT!#REF!,"AAAAAH3vooA=")</f>
        <v>#REF!</v>
      </c>
      <c r="DZ36" t="e">
        <f>AND(DATASORT!#REF!,"AAAAAH3vooE=")</f>
        <v>#REF!</v>
      </c>
      <c r="EA36" t="e">
        <f>AND(DATASORT!#REF!,"AAAAAH3vooI=")</f>
        <v>#REF!</v>
      </c>
      <c r="EB36" t="e">
        <f>AND(DATASORT!#REF!,"AAAAAH3vooM=")</f>
        <v>#REF!</v>
      </c>
      <c r="EC36" t="e">
        <f>AND(DATASORT!#REF!,"AAAAAH3vooQ=")</f>
        <v>#REF!</v>
      </c>
      <c r="ED36" t="e">
        <f>AND(DATASORT!#REF!,"AAAAAH3vooU=")</f>
        <v>#REF!</v>
      </c>
      <c r="EE36" t="e">
        <f>AND(DATASORT!#REF!,"AAAAAH3vooY=")</f>
        <v>#REF!</v>
      </c>
      <c r="EF36" t="e">
        <f>AND(DATASORT!#REF!,"AAAAAH3vooc=")</f>
        <v>#REF!</v>
      </c>
      <c r="EG36" t="e">
        <f>AND(DATASORT!#REF!,"AAAAAH3voog=")</f>
        <v>#REF!</v>
      </c>
      <c r="EH36" t="e">
        <f>AND(DATASORT!#REF!,"AAAAAH3vook=")</f>
        <v>#REF!</v>
      </c>
      <c r="EI36" t="e">
        <f>AND(DATASORT!#REF!,"AAAAAH3vooo=")</f>
        <v>#REF!</v>
      </c>
      <c r="EJ36" t="e">
        <f>AND(DATASORT!#REF!,"AAAAAH3voos=")</f>
        <v>#REF!</v>
      </c>
      <c r="EK36" t="e">
        <f>AND(DATASORT!#REF!,"AAAAAH3voow=")</f>
        <v>#REF!</v>
      </c>
      <c r="EL36" t="e">
        <f>AND(DATASORT!#REF!,"AAAAAH3voo0=")</f>
        <v>#REF!</v>
      </c>
      <c r="EM36" t="e">
        <f>AND(DATASORT!#REF!,"AAAAAH3voo4=")</f>
        <v>#REF!</v>
      </c>
      <c r="EN36" t="e">
        <f>AND(DATASORT!#REF!,"AAAAAH3voo8=")</f>
        <v>#REF!</v>
      </c>
      <c r="EO36" t="e">
        <f>AND(DATASORT!#REF!,"AAAAAH3vopA=")</f>
        <v>#REF!</v>
      </c>
      <c r="EP36" t="e">
        <f>AND(DATASORT!#REF!,"AAAAAH3vopE=")</f>
        <v>#REF!</v>
      </c>
      <c r="EQ36" t="e">
        <f>IF(DATASORT!#REF!,"AAAAAH3vopI=",0)</f>
        <v>#REF!</v>
      </c>
      <c r="ER36" t="e">
        <f>AND(DATASORT!#REF!,"AAAAAH3vopM=")</f>
        <v>#REF!</v>
      </c>
      <c r="ES36" t="e">
        <f>AND(DATASORT!#REF!,"AAAAAH3vopQ=")</f>
        <v>#REF!</v>
      </c>
      <c r="ET36" t="e">
        <f>AND(DATASORT!#REF!,"AAAAAH3vopU=")</f>
        <v>#REF!</v>
      </c>
      <c r="EU36" t="e">
        <f>AND(DATASORT!#REF!,"AAAAAH3vopY=")</f>
        <v>#REF!</v>
      </c>
      <c r="EV36" t="e">
        <f>AND(DATASORT!#REF!,"AAAAAH3vopc=")</f>
        <v>#REF!</v>
      </c>
      <c r="EW36" t="e">
        <f>AND(DATASORT!#REF!,"AAAAAH3vopg=")</f>
        <v>#REF!</v>
      </c>
      <c r="EX36" t="e">
        <f>AND(DATASORT!#REF!,"AAAAAH3vopk=")</f>
        <v>#REF!</v>
      </c>
      <c r="EY36" t="e">
        <f>AND(DATASORT!#REF!,"AAAAAH3vopo=")</f>
        <v>#REF!</v>
      </c>
      <c r="EZ36" t="e">
        <f>AND(DATASORT!#REF!,"AAAAAH3vops=")</f>
        <v>#REF!</v>
      </c>
      <c r="FA36" t="e">
        <f>AND(DATASORT!#REF!,"AAAAAH3vopw=")</f>
        <v>#REF!</v>
      </c>
      <c r="FB36" t="e">
        <f>AND(DATASORT!#REF!,"AAAAAH3vop0=")</f>
        <v>#REF!</v>
      </c>
      <c r="FC36" t="e">
        <f>AND(DATASORT!#REF!,"AAAAAH3vop4=")</f>
        <v>#REF!</v>
      </c>
      <c r="FD36" t="e">
        <f>AND(DATASORT!#REF!,"AAAAAH3vop8=")</f>
        <v>#REF!</v>
      </c>
      <c r="FE36" t="e">
        <f>AND(DATASORT!#REF!,"AAAAAH3voqA=")</f>
        <v>#REF!</v>
      </c>
      <c r="FF36" t="e">
        <f>AND(DATASORT!#REF!,"AAAAAH3voqE=")</f>
        <v>#REF!</v>
      </c>
      <c r="FG36" t="e">
        <f>AND(DATASORT!#REF!,"AAAAAH3voqI=")</f>
        <v>#REF!</v>
      </c>
      <c r="FH36" t="e">
        <f>AND(DATASORT!#REF!,"AAAAAH3voqM=")</f>
        <v>#REF!</v>
      </c>
      <c r="FI36" t="e">
        <f>AND(DATASORT!#REF!,"AAAAAH3voqQ=")</f>
        <v>#REF!</v>
      </c>
      <c r="FJ36" t="e">
        <f>AND(DATASORT!#REF!,"AAAAAH3voqU=")</f>
        <v>#REF!</v>
      </c>
      <c r="FK36" t="e">
        <f>AND(DATASORT!#REF!,"AAAAAH3voqY=")</f>
        <v>#REF!</v>
      </c>
      <c r="FL36" t="e">
        <f>AND(DATASORT!#REF!,"AAAAAH3voqc=")</f>
        <v>#REF!</v>
      </c>
      <c r="FM36" t="e">
        <f>AND(DATASORT!#REF!,"AAAAAH3voqg=")</f>
        <v>#REF!</v>
      </c>
      <c r="FN36" t="e">
        <f>AND(DATASORT!#REF!,"AAAAAH3voqk=")</f>
        <v>#REF!</v>
      </c>
      <c r="FO36" t="e">
        <f>AND(DATASORT!#REF!,"AAAAAH3voqo=")</f>
        <v>#REF!</v>
      </c>
      <c r="FP36" t="e">
        <f>AND(DATASORT!#REF!,"AAAAAH3voqs=")</f>
        <v>#REF!</v>
      </c>
      <c r="FQ36" t="e">
        <f>AND(DATASORT!#REF!,"AAAAAH3voqw=")</f>
        <v>#REF!</v>
      </c>
      <c r="FR36" t="e">
        <f>AND(DATASORT!#REF!,"AAAAAH3voq0=")</f>
        <v>#REF!</v>
      </c>
      <c r="FS36" t="e">
        <f>IF(DATASORT!#REF!,"AAAAAH3voq4=",0)</f>
        <v>#REF!</v>
      </c>
      <c r="FT36" t="e">
        <f>AND(DATASORT!#REF!,"AAAAAH3voq8=")</f>
        <v>#REF!</v>
      </c>
      <c r="FU36" t="e">
        <f>AND(DATASORT!#REF!,"AAAAAH3vorA=")</f>
        <v>#REF!</v>
      </c>
      <c r="FV36" t="e">
        <f>AND(DATASORT!#REF!,"AAAAAH3vorE=")</f>
        <v>#REF!</v>
      </c>
      <c r="FW36" t="e">
        <f>AND(DATASORT!#REF!,"AAAAAH3vorI=")</f>
        <v>#REF!</v>
      </c>
      <c r="FX36" t="e">
        <f>AND(DATASORT!#REF!,"AAAAAH3vorM=")</f>
        <v>#REF!</v>
      </c>
      <c r="FY36" t="e">
        <f>AND(DATASORT!#REF!,"AAAAAH3vorQ=")</f>
        <v>#REF!</v>
      </c>
      <c r="FZ36" t="e">
        <f>AND(DATASORT!#REF!,"AAAAAH3vorU=")</f>
        <v>#REF!</v>
      </c>
      <c r="GA36" t="e">
        <f>AND(DATASORT!#REF!,"AAAAAH3vorY=")</f>
        <v>#REF!</v>
      </c>
      <c r="GB36" t="e">
        <f>AND(DATASORT!#REF!,"AAAAAH3vorc=")</f>
        <v>#REF!</v>
      </c>
      <c r="GC36" t="e">
        <f>AND(DATASORT!#REF!,"AAAAAH3vorg=")</f>
        <v>#REF!</v>
      </c>
      <c r="GD36" t="e">
        <f>AND(DATASORT!#REF!,"AAAAAH3vork=")</f>
        <v>#REF!</v>
      </c>
      <c r="GE36" t="e">
        <f>AND(DATASORT!#REF!,"AAAAAH3voro=")</f>
        <v>#REF!</v>
      </c>
      <c r="GF36" t="e">
        <f>AND(DATASORT!#REF!,"AAAAAH3vors=")</f>
        <v>#REF!</v>
      </c>
      <c r="GG36" t="e">
        <f>AND(DATASORT!#REF!,"AAAAAH3vorw=")</f>
        <v>#REF!</v>
      </c>
      <c r="GH36" t="e">
        <f>AND(DATASORT!#REF!,"AAAAAH3vor0=")</f>
        <v>#REF!</v>
      </c>
      <c r="GI36" t="e">
        <f>AND(DATASORT!#REF!,"AAAAAH3vor4=")</f>
        <v>#REF!</v>
      </c>
      <c r="GJ36" t="e">
        <f>AND(DATASORT!#REF!,"AAAAAH3vor8=")</f>
        <v>#REF!</v>
      </c>
      <c r="GK36" t="e">
        <f>AND(DATASORT!#REF!,"AAAAAH3vosA=")</f>
        <v>#REF!</v>
      </c>
      <c r="GL36" t="e">
        <f>AND(DATASORT!#REF!,"AAAAAH3vosE=")</f>
        <v>#REF!</v>
      </c>
      <c r="GM36" t="e">
        <f>AND(DATASORT!#REF!,"AAAAAH3vosI=")</f>
        <v>#REF!</v>
      </c>
      <c r="GN36" t="e">
        <f>AND(DATASORT!#REF!,"AAAAAH3vosM=")</f>
        <v>#REF!</v>
      </c>
      <c r="GO36" t="e">
        <f>AND(DATASORT!#REF!,"AAAAAH3vosQ=")</f>
        <v>#REF!</v>
      </c>
      <c r="GP36" t="e">
        <f>AND(DATASORT!#REF!,"AAAAAH3vosU=")</f>
        <v>#REF!</v>
      </c>
      <c r="GQ36" t="e">
        <f>AND(DATASORT!#REF!,"AAAAAH3vosY=")</f>
        <v>#REF!</v>
      </c>
      <c r="GR36" t="e">
        <f>AND(DATASORT!#REF!,"AAAAAH3vosc=")</f>
        <v>#REF!</v>
      </c>
      <c r="GS36" t="e">
        <f>AND(DATASORT!#REF!,"AAAAAH3vosg=")</f>
        <v>#REF!</v>
      </c>
      <c r="GT36" t="e">
        <f>AND(DATASORT!#REF!,"AAAAAH3vosk=")</f>
        <v>#REF!</v>
      </c>
      <c r="GU36" t="e">
        <f>IF(DATASORT!#REF!,"AAAAAH3voso=",0)</f>
        <v>#REF!</v>
      </c>
      <c r="GV36" t="e">
        <f>AND(DATASORT!#REF!,"AAAAAH3voss=")</f>
        <v>#REF!</v>
      </c>
      <c r="GW36" t="e">
        <f>AND(DATASORT!#REF!,"AAAAAH3vosw=")</f>
        <v>#REF!</v>
      </c>
      <c r="GX36" t="e">
        <f>AND(DATASORT!#REF!,"AAAAAH3vos0=")</f>
        <v>#REF!</v>
      </c>
      <c r="GY36" t="e">
        <f>AND(DATASORT!#REF!,"AAAAAH3vos4=")</f>
        <v>#REF!</v>
      </c>
      <c r="GZ36" t="e">
        <f>AND(DATASORT!#REF!,"AAAAAH3vos8=")</f>
        <v>#REF!</v>
      </c>
      <c r="HA36" t="e">
        <f>AND(DATASORT!#REF!,"AAAAAH3votA=")</f>
        <v>#REF!</v>
      </c>
      <c r="HB36" t="e">
        <f>AND(DATASORT!#REF!,"AAAAAH3votE=")</f>
        <v>#REF!</v>
      </c>
      <c r="HC36" t="e">
        <f>AND(DATASORT!#REF!,"AAAAAH3votI=")</f>
        <v>#REF!</v>
      </c>
      <c r="HD36" t="e">
        <f>AND(DATASORT!#REF!,"AAAAAH3votM=")</f>
        <v>#REF!</v>
      </c>
      <c r="HE36" t="e">
        <f>AND(DATASORT!#REF!,"AAAAAH3votQ=")</f>
        <v>#REF!</v>
      </c>
      <c r="HF36" t="e">
        <f>AND(DATASORT!#REF!,"AAAAAH3votU=")</f>
        <v>#REF!</v>
      </c>
      <c r="HG36" t="e">
        <f>AND(DATASORT!#REF!,"AAAAAH3votY=")</f>
        <v>#REF!</v>
      </c>
      <c r="HH36" t="e">
        <f>AND(DATASORT!#REF!,"AAAAAH3votc=")</f>
        <v>#REF!</v>
      </c>
      <c r="HI36" t="e">
        <f>AND(DATASORT!#REF!,"AAAAAH3votg=")</f>
        <v>#REF!</v>
      </c>
      <c r="HJ36" t="e">
        <f>AND(DATASORT!#REF!,"AAAAAH3votk=")</f>
        <v>#REF!</v>
      </c>
      <c r="HK36" t="e">
        <f>AND(DATASORT!#REF!,"AAAAAH3voto=")</f>
        <v>#REF!</v>
      </c>
      <c r="HL36" t="e">
        <f>AND(DATASORT!#REF!,"AAAAAH3vots=")</f>
        <v>#REF!</v>
      </c>
      <c r="HM36" t="e">
        <f>AND(DATASORT!#REF!,"AAAAAH3votw=")</f>
        <v>#REF!</v>
      </c>
      <c r="HN36" t="e">
        <f>AND(DATASORT!#REF!,"AAAAAH3vot0=")</f>
        <v>#REF!</v>
      </c>
      <c r="HO36" t="e">
        <f>AND(DATASORT!#REF!,"AAAAAH3vot4=")</f>
        <v>#REF!</v>
      </c>
      <c r="HP36" t="e">
        <f>AND(DATASORT!#REF!,"AAAAAH3vot8=")</f>
        <v>#REF!</v>
      </c>
      <c r="HQ36" t="e">
        <f>AND(DATASORT!#REF!,"AAAAAH3vouA=")</f>
        <v>#REF!</v>
      </c>
      <c r="HR36" t="e">
        <f>AND(DATASORT!#REF!,"AAAAAH3vouE=")</f>
        <v>#REF!</v>
      </c>
      <c r="HS36" t="e">
        <f>AND(DATASORT!#REF!,"AAAAAH3vouI=")</f>
        <v>#REF!</v>
      </c>
      <c r="HT36" t="e">
        <f>AND(DATASORT!#REF!,"AAAAAH3vouM=")</f>
        <v>#REF!</v>
      </c>
      <c r="HU36" t="e">
        <f>AND(DATASORT!#REF!,"AAAAAH3vouQ=")</f>
        <v>#REF!</v>
      </c>
      <c r="HV36" t="e">
        <f>AND(DATASORT!#REF!,"AAAAAH3vouU=")</f>
        <v>#REF!</v>
      </c>
      <c r="HW36" t="e">
        <f>IF(DATASORT!#REF!,"AAAAAH3vouY=",0)</f>
        <v>#REF!</v>
      </c>
      <c r="HX36" t="e">
        <f>AND(DATASORT!#REF!,"AAAAAH3vouc=")</f>
        <v>#REF!</v>
      </c>
      <c r="HY36" t="e">
        <f>AND(DATASORT!#REF!,"AAAAAH3voug=")</f>
        <v>#REF!</v>
      </c>
      <c r="HZ36" t="e">
        <f>AND(DATASORT!#REF!,"AAAAAH3vouk=")</f>
        <v>#REF!</v>
      </c>
      <c r="IA36" t="e">
        <f>AND(DATASORT!#REF!,"AAAAAH3vouo=")</f>
        <v>#REF!</v>
      </c>
      <c r="IB36" t="e">
        <f>AND(DATASORT!#REF!,"AAAAAH3vous=")</f>
        <v>#REF!</v>
      </c>
      <c r="IC36" t="e">
        <f>AND(DATASORT!#REF!,"AAAAAH3vouw=")</f>
        <v>#REF!</v>
      </c>
      <c r="ID36" t="e">
        <f>AND(DATASORT!#REF!,"AAAAAH3vou0=")</f>
        <v>#REF!</v>
      </c>
      <c r="IE36" t="e">
        <f>AND(DATASORT!#REF!,"AAAAAH3vou4=")</f>
        <v>#REF!</v>
      </c>
      <c r="IF36" t="e">
        <f>AND(DATASORT!#REF!,"AAAAAH3vou8=")</f>
        <v>#REF!</v>
      </c>
      <c r="IG36" t="e">
        <f>AND(DATASORT!#REF!,"AAAAAH3vovA=")</f>
        <v>#REF!</v>
      </c>
      <c r="IH36" t="e">
        <f>AND(DATASORT!#REF!,"AAAAAH3vovE=")</f>
        <v>#REF!</v>
      </c>
      <c r="II36" t="e">
        <f>AND(DATASORT!#REF!,"AAAAAH3vovI=")</f>
        <v>#REF!</v>
      </c>
      <c r="IJ36" t="e">
        <f>AND(DATASORT!#REF!,"AAAAAH3vovM=")</f>
        <v>#REF!</v>
      </c>
      <c r="IK36" t="e">
        <f>AND(DATASORT!#REF!,"AAAAAH3vovQ=")</f>
        <v>#REF!</v>
      </c>
      <c r="IL36" t="e">
        <f>AND(DATASORT!#REF!,"AAAAAH3vovU=")</f>
        <v>#REF!</v>
      </c>
      <c r="IM36" t="e">
        <f>AND(DATASORT!#REF!,"AAAAAH3vovY=")</f>
        <v>#REF!</v>
      </c>
      <c r="IN36" t="e">
        <f>AND(DATASORT!#REF!,"AAAAAH3vovc=")</f>
        <v>#REF!</v>
      </c>
      <c r="IO36" t="e">
        <f>AND(DATASORT!#REF!,"AAAAAH3vovg=")</f>
        <v>#REF!</v>
      </c>
      <c r="IP36" t="e">
        <f>AND(DATASORT!#REF!,"AAAAAH3vovk=")</f>
        <v>#REF!</v>
      </c>
      <c r="IQ36" t="e">
        <f>AND(DATASORT!#REF!,"AAAAAH3vovo=")</f>
        <v>#REF!</v>
      </c>
      <c r="IR36" t="e">
        <f>AND(DATASORT!#REF!,"AAAAAH3vovs=")</f>
        <v>#REF!</v>
      </c>
      <c r="IS36" t="e">
        <f>AND(DATASORT!#REF!,"AAAAAH3vovw=")</f>
        <v>#REF!</v>
      </c>
      <c r="IT36" t="e">
        <f>AND(DATASORT!#REF!,"AAAAAH3vov0=")</f>
        <v>#REF!</v>
      </c>
      <c r="IU36" t="e">
        <f>AND(DATASORT!#REF!,"AAAAAH3vov4=")</f>
        <v>#REF!</v>
      </c>
      <c r="IV36" t="e">
        <f>AND(DATASORT!#REF!,"AAAAAH3vov8=")</f>
        <v>#REF!</v>
      </c>
    </row>
    <row r="37" spans="1:256">
      <c r="A37" t="e">
        <f>AND(DATASORT!#REF!,"AAAAAHd3+wA=")</f>
        <v>#REF!</v>
      </c>
      <c r="B37" t="e">
        <f>AND(DATASORT!#REF!,"AAAAAHd3+wE=")</f>
        <v>#REF!</v>
      </c>
      <c r="C37" t="e">
        <f>IF(DATASORT!#REF!,"AAAAAHd3+wI=",0)</f>
        <v>#REF!</v>
      </c>
      <c r="D37" t="e">
        <f>AND(DATASORT!#REF!,"AAAAAHd3+wM=")</f>
        <v>#REF!</v>
      </c>
      <c r="E37" t="e">
        <f>AND(DATASORT!#REF!,"AAAAAHd3+wQ=")</f>
        <v>#REF!</v>
      </c>
      <c r="F37" t="e">
        <f>AND(DATASORT!#REF!,"AAAAAHd3+wU=")</f>
        <v>#REF!</v>
      </c>
      <c r="G37" t="e">
        <f>AND(DATASORT!#REF!,"AAAAAHd3+wY=")</f>
        <v>#REF!</v>
      </c>
      <c r="H37" t="e">
        <f>AND(DATASORT!#REF!,"AAAAAHd3+wc=")</f>
        <v>#REF!</v>
      </c>
      <c r="I37" t="e">
        <f>AND(DATASORT!#REF!,"AAAAAHd3+wg=")</f>
        <v>#REF!</v>
      </c>
      <c r="J37" t="e">
        <f>AND(DATASORT!#REF!,"AAAAAHd3+wk=")</f>
        <v>#REF!</v>
      </c>
      <c r="K37" t="e">
        <f>AND(DATASORT!#REF!,"AAAAAHd3+wo=")</f>
        <v>#REF!</v>
      </c>
      <c r="L37" t="e">
        <f>AND(DATASORT!#REF!,"AAAAAHd3+ws=")</f>
        <v>#REF!</v>
      </c>
      <c r="M37" t="e">
        <f>AND(DATASORT!#REF!,"AAAAAHd3+ww=")</f>
        <v>#REF!</v>
      </c>
      <c r="N37" t="e">
        <f>AND(DATASORT!#REF!,"AAAAAHd3+w0=")</f>
        <v>#REF!</v>
      </c>
      <c r="O37" t="e">
        <f>AND(DATASORT!#REF!,"AAAAAHd3+w4=")</f>
        <v>#REF!</v>
      </c>
      <c r="P37" t="e">
        <f>AND(DATASORT!#REF!,"AAAAAHd3+w8=")</f>
        <v>#REF!</v>
      </c>
      <c r="Q37" t="e">
        <f>AND(DATASORT!#REF!,"AAAAAHd3+xA=")</f>
        <v>#REF!</v>
      </c>
      <c r="R37" t="e">
        <f>AND(DATASORT!#REF!,"AAAAAHd3+xE=")</f>
        <v>#REF!</v>
      </c>
      <c r="S37" t="e">
        <f>AND(DATASORT!#REF!,"AAAAAHd3+xI=")</f>
        <v>#REF!</v>
      </c>
      <c r="T37" t="e">
        <f>AND(DATASORT!#REF!,"AAAAAHd3+xM=")</f>
        <v>#REF!</v>
      </c>
      <c r="U37" t="e">
        <f>AND(DATASORT!#REF!,"AAAAAHd3+xQ=")</f>
        <v>#REF!</v>
      </c>
      <c r="V37" t="e">
        <f>AND(DATASORT!#REF!,"AAAAAHd3+xU=")</f>
        <v>#REF!</v>
      </c>
      <c r="W37" t="e">
        <f>AND(DATASORT!#REF!,"AAAAAHd3+xY=")</f>
        <v>#REF!</v>
      </c>
      <c r="X37" t="e">
        <f>AND(DATASORT!#REF!,"AAAAAHd3+xc=")</f>
        <v>#REF!</v>
      </c>
      <c r="Y37" t="e">
        <f>AND(DATASORT!#REF!,"AAAAAHd3+xg=")</f>
        <v>#REF!</v>
      </c>
      <c r="Z37" t="e">
        <f>AND(DATASORT!#REF!,"AAAAAHd3+xk=")</f>
        <v>#REF!</v>
      </c>
      <c r="AA37" t="e">
        <f>AND(DATASORT!#REF!,"AAAAAHd3+xo=")</f>
        <v>#REF!</v>
      </c>
      <c r="AB37" t="e">
        <f>AND(DATASORT!#REF!,"AAAAAHd3+xs=")</f>
        <v>#REF!</v>
      </c>
      <c r="AC37" t="e">
        <f>AND(DATASORT!#REF!,"AAAAAHd3+xw=")</f>
        <v>#REF!</v>
      </c>
      <c r="AD37" t="e">
        <f>AND(DATASORT!#REF!,"AAAAAHd3+x0=")</f>
        <v>#REF!</v>
      </c>
      <c r="AE37" t="e">
        <f>IF(DATASORT!#REF!,"AAAAAHd3+x4=",0)</f>
        <v>#REF!</v>
      </c>
      <c r="AF37" t="e">
        <f>AND(DATASORT!#REF!,"AAAAAHd3+x8=")</f>
        <v>#REF!</v>
      </c>
      <c r="AG37" t="e">
        <f>AND(DATASORT!#REF!,"AAAAAHd3+yA=")</f>
        <v>#REF!</v>
      </c>
      <c r="AH37" t="e">
        <f>AND(DATASORT!#REF!,"AAAAAHd3+yE=")</f>
        <v>#REF!</v>
      </c>
      <c r="AI37" t="e">
        <f>AND(DATASORT!#REF!,"AAAAAHd3+yI=")</f>
        <v>#REF!</v>
      </c>
      <c r="AJ37" t="e">
        <f>AND(DATASORT!#REF!,"AAAAAHd3+yM=")</f>
        <v>#REF!</v>
      </c>
      <c r="AK37" t="e">
        <f>AND(DATASORT!#REF!,"AAAAAHd3+yQ=")</f>
        <v>#REF!</v>
      </c>
      <c r="AL37" t="e">
        <f>AND(DATASORT!#REF!,"AAAAAHd3+yU=")</f>
        <v>#REF!</v>
      </c>
      <c r="AM37" t="e">
        <f>AND(DATASORT!#REF!,"AAAAAHd3+yY=")</f>
        <v>#REF!</v>
      </c>
      <c r="AN37" t="e">
        <f>AND(DATASORT!#REF!,"AAAAAHd3+yc=")</f>
        <v>#REF!</v>
      </c>
      <c r="AO37" t="e">
        <f>AND(DATASORT!#REF!,"AAAAAHd3+yg=")</f>
        <v>#REF!</v>
      </c>
      <c r="AP37" t="e">
        <f>AND(DATASORT!#REF!,"AAAAAHd3+yk=")</f>
        <v>#REF!</v>
      </c>
      <c r="AQ37" t="e">
        <f>AND(DATASORT!#REF!,"AAAAAHd3+yo=")</f>
        <v>#REF!</v>
      </c>
      <c r="AR37" t="e">
        <f>AND(DATASORT!#REF!,"AAAAAHd3+ys=")</f>
        <v>#REF!</v>
      </c>
      <c r="AS37" t="e">
        <f>AND(DATASORT!#REF!,"AAAAAHd3+yw=")</f>
        <v>#REF!</v>
      </c>
      <c r="AT37" t="e">
        <f>AND(DATASORT!#REF!,"AAAAAHd3+y0=")</f>
        <v>#REF!</v>
      </c>
      <c r="AU37" t="e">
        <f>AND(DATASORT!#REF!,"AAAAAHd3+y4=")</f>
        <v>#REF!</v>
      </c>
      <c r="AV37" t="e">
        <f>AND(DATASORT!#REF!,"AAAAAHd3+y8=")</f>
        <v>#REF!</v>
      </c>
      <c r="AW37" t="e">
        <f>AND(DATASORT!#REF!,"AAAAAHd3+zA=")</f>
        <v>#REF!</v>
      </c>
      <c r="AX37" t="e">
        <f>AND(DATASORT!#REF!,"AAAAAHd3+zE=")</f>
        <v>#REF!</v>
      </c>
      <c r="AY37" t="e">
        <f>AND(DATASORT!#REF!,"AAAAAHd3+zI=")</f>
        <v>#REF!</v>
      </c>
      <c r="AZ37" t="e">
        <f>AND(DATASORT!#REF!,"AAAAAHd3+zM=")</f>
        <v>#REF!</v>
      </c>
      <c r="BA37" t="e">
        <f>AND(DATASORT!#REF!,"AAAAAHd3+zQ=")</f>
        <v>#REF!</v>
      </c>
      <c r="BB37" t="e">
        <f>AND(DATASORT!#REF!,"AAAAAHd3+zU=")</f>
        <v>#REF!</v>
      </c>
      <c r="BC37" t="e">
        <f>AND(DATASORT!#REF!,"AAAAAHd3+zY=")</f>
        <v>#REF!</v>
      </c>
      <c r="BD37" t="e">
        <f>AND(DATASORT!#REF!,"AAAAAHd3+zc=")</f>
        <v>#REF!</v>
      </c>
      <c r="BE37" t="e">
        <f>AND(DATASORT!#REF!,"AAAAAHd3+zg=")</f>
        <v>#REF!</v>
      </c>
      <c r="BF37" t="e">
        <f>AND(DATASORT!#REF!,"AAAAAHd3+zk=")</f>
        <v>#REF!</v>
      </c>
      <c r="BG37" t="e">
        <f>IF(DATASORT!#REF!,"AAAAAHd3+zo=",0)</f>
        <v>#REF!</v>
      </c>
      <c r="BH37" t="e">
        <f>AND(DATASORT!#REF!,"AAAAAHd3+zs=")</f>
        <v>#REF!</v>
      </c>
      <c r="BI37" t="e">
        <f>AND(DATASORT!#REF!,"AAAAAHd3+zw=")</f>
        <v>#REF!</v>
      </c>
      <c r="BJ37" t="e">
        <f>AND(DATASORT!#REF!,"AAAAAHd3+z0=")</f>
        <v>#REF!</v>
      </c>
      <c r="BK37" t="e">
        <f>AND(DATASORT!#REF!,"AAAAAHd3+z4=")</f>
        <v>#REF!</v>
      </c>
      <c r="BL37" t="e">
        <f>AND(DATASORT!#REF!,"AAAAAHd3+z8=")</f>
        <v>#REF!</v>
      </c>
      <c r="BM37" t="e">
        <f>AND(DATASORT!#REF!,"AAAAAHd3+0A=")</f>
        <v>#REF!</v>
      </c>
      <c r="BN37" t="e">
        <f>AND(DATASORT!#REF!,"AAAAAHd3+0E=")</f>
        <v>#REF!</v>
      </c>
      <c r="BO37" t="e">
        <f>AND(DATASORT!#REF!,"AAAAAHd3+0I=")</f>
        <v>#REF!</v>
      </c>
      <c r="BP37" t="e">
        <f>AND(DATASORT!#REF!,"AAAAAHd3+0M=")</f>
        <v>#REF!</v>
      </c>
      <c r="BQ37" t="e">
        <f>AND(DATASORT!#REF!,"AAAAAHd3+0Q=")</f>
        <v>#REF!</v>
      </c>
      <c r="BR37" t="e">
        <f>AND(DATASORT!#REF!,"AAAAAHd3+0U=")</f>
        <v>#REF!</v>
      </c>
      <c r="BS37" t="e">
        <f>AND(DATASORT!#REF!,"AAAAAHd3+0Y=")</f>
        <v>#REF!</v>
      </c>
      <c r="BT37" t="e">
        <f>AND(DATASORT!#REF!,"AAAAAHd3+0c=")</f>
        <v>#REF!</v>
      </c>
      <c r="BU37" t="e">
        <f>AND(DATASORT!#REF!,"AAAAAHd3+0g=")</f>
        <v>#REF!</v>
      </c>
      <c r="BV37" t="e">
        <f>AND(DATASORT!#REF!,"AAAAAHd3+0k=")</f>
        <v>#REF!</v>
      </c>
      <c r="BW37" t="e">
        <f>AND(DATASORT!#REF!,"AAAAAHd3+0o=")</f>
        <v>#REF!</v>
      </c>
      <c r="BX37" t="e">
        <f>AND(DATASORT!#REF!,"AAAAAHd3+0s=")</f>
        <v>#REF!</v>
      </c>
      <c r="BY37" t="e">
        <f>AND(DATASORT!#REF!,"AAAAAHd3+0w=")</f>
        <v>#REF!</v>
      </c>
      <c r="BZ37" t="e">
        <f>AND(DATASORT!#REF!,"AAAAAHd3+00=")</f>
        <v>#REF!</v>
      </c>
      <c r="CA37" t="e">
        <f>AND(DATASORT!#REF!,"AAAAAHd3+04=")</f>
        <v>#REF!</v>
      </c>
      <c r="CB37" t="e">
        <f>AND(DATASORT!#REF!,"AAAAAHd3+08=")</f>
        <v>#REF!</v>
      </c>
      <c r="CC37" t="e">
        <f>AND(DATASORT!#REF!,"AAAAAHd3+1A=")</f>
        <v>#REF!</v>
      </c>
      <c r="CD37" t="e">
        <f>AND(DATASORT!#REF!,"AAAAAHd3+1E=")</f>
        <v>#REF!</v>
      </c>
      <c r="CE37" t="e">
        <f>AND(DATASORT!#REF!,"AAAAAHd3+1I=")</f>
        <v>#REF!</v>
      </c>
      <c r="CF37" t="e">
        <f>AND(DATASORT!#REF!,"AAAAAHd3+1M=")</f>
        <v>#REF!</v>
      </c>
      <c r="CG37" t="e">
        <f>AND(DATASORT!#REF!,"AAAAAHd3+1Q=")</f>
        <v>#REF!</v>
      </c>
      <c r="CH37" t="e">
        <f>AND(DATASORT!#REF!,"AAAAAHd3+1U=")</f>
        <v>#REF!</v>
      </c>
      <c r="CI37" t="e">
        <f>IF(DATASORT!#REF!,"AAAAAHd3+1Y=",0)</f>
        <v>#REF!</v>
      </c>
      <c r="CJ37" t="e">
        <f>AND(DATASORT!#REF!,"AAAAAHd3+1c=")</f>
        <v>#REF!</v>
      </c>
      <c r="CK37" t="e">
        <f>AND(DATASORT!#REF!,"AAAAAHd3+1g=")</f>
        <v>#REF!</v>
      </c>
      <c r="CL37" t="e">
        <f>AND(DATASORT!#REF!,"AAAAAHd3+1k=")</f>
        <v>#REF!</v>
      </c>
      <c r="CM37" t="e">
        <f>AND(DATASORT!#REF!,"AAAAAHd3+1o=")</f>
        <v>#REF!</v>
      </c>
      <c r="CN37" t="e">
        <f>AND(DATASORT!#REF!,"AAAAAHd3+1s=")</f>
        <v>#REF!</v>
      </c>
      <c r="CO37" t="e">
        <f>AND(DATASORT!#REF!,"AAAAAHd3+1w=")</f>
        <v>#REF!</v>
      </c>
      <c r="CP37" t="e">
        <f>AND(DATASORT!#REF!,"AAAAAHd3+10=")</f>
        <v>#REF!</v>
      </c>
      <c r="CQ37" t="e">
        <f>AND(DATASORT!#REF!,"AAAAAHd3+14=")</f>
        <v>#REF!</v>
      </c>
      <c r="CR37" t="e">
        <f>AND(DATASORT!#REF!,"AAAAAHd3+18=")</f>
        <v>#REF!</v>
      </c>
      <c r="CS37" t="e">
        <f>AND(DATASORT!#REF!,"AAAAAHd3+2A=")</f>
        <v>#REF!</v>
      </c>
      <c r="CT37" t="e">
        <f>AND(DATASORT!#REF!,"AAAAAHd3+2E=")</f>
        <v>#REF!</v>
      </c>
      <c r="CU37" t="e">
        <f>AND(DATASORT!#REF!,"AAAAAHd3+2I=")</f>
        <v>#REF!</v>
      </c>
      <c r="CV37" t="e">
        <f>AND(DATASORT!#REF!,"AAAAAHd3+2M=")</f>
        <v>#REF!</v>
      </c>
      <c r="CW37" t="e">
        <f>AND(DATASORT!#REF!,"AAAAAHd3+2Q=")</f>
        <v>#REF!</v>
      </c>
      <c r="CX37" t="e">
        <f>AND(DATASORT!#REF!,"AAAAAHd3+2U=")</f>
        <v>#REF!</v>
      </c>
      <c r="CY37" t="e">
        <f>AND(DATASORT!#REF!,"AAAAAHd3+2Y=")</f>
        <v>#REF!</v>
      </c>
      <c r="CZ37" t="e">
        <f>AND(DATASORT!#REF!,"AAAAAHd3+2c=")</f>
        <v>#REF!</v>
      </c>
      <c r="DA37" t="e">
        <f>AND(DATASORT!#REF!,"AAAAAHd3+2g=")</f>
        <v>#REF!</v>
      </c>
      <c r="DB37" t="e">
        <f>AND(DATASORT!#REF!,"AAAAAHd3+2k=")</f>
        <v>#REF!</v>
      </c>
      <c r="DC37" t="e">
        <f>AND(DATASORT!#REF!,"AAAAAHd3+2o=")</f>
        <v>#REF!</v>
      </c>
      <c r="DD37" t="e">
        <f>AND(DATASORT!#REF!,"AAAAAHd3+2s=")</f>
        <v>#REF!</v>
      </c>
      <c r="DE37" t="e">
        <f>AND(DATASORT!#REF!,"AAAAAHd3+2w=")</f>
        <v>#REF!</v>
      </c>
      <c r="DF37" t="e">
        <f>AND(DATASORT!#REF!,"AAAAAHd3+20=")</f>
        <v>#REF!</v>
      </c>
      <c r="DG37" t="e">
        <f>AND(DATASORT!#REF!,"AAAAAHd3+24=")</f>
        <v>#REF!</v>
      </c>
      <c r="DH37" t="e">
        <f>AND(DATASORT!#REF!,"AAAAAHd3+28=")</f>
        <v>#REF!</v>
      </c>
      <c r="DI37" t="e">
        <f>AND(DATASORT!#REF!,"AAAAAHd3+3A=")</f>
        <v>#REF!</v>
      </c>
      <c r="DJ37" t="e">
        <f>AND(DATASORT!#REF!,"AAAAAHd3+3E=")</f>
        <v>#REF!</v>
      </c>
      <c r="DK37" t="e">
        <f>IF(DATASORT!#REF!,"AAAAAHd3+3I=",0)</f>
        <v>#REF!</v>
      </c>
      <c r="DL37" t="e">
        <f>AND(DATASORT!#REF!,"AAAAAHd3+3M=")</f>
        <v>#REF!</v>
      </c>
      <c r="DM37" t="e">
        <f>AND(DATASORT!#REF!,"AAAAAHd3+3Q=")</f>
        <v>#REF!</v>
      </c>
      <c r="DN37" t="e">
        <f>AND(DATASORT!#REF!,"AAAAAHd3+3U=")</f>
        <v>#REF!</v>
      </c>
      <c r="DO37" t="e">
        <f>AND(DATASORT!#REF!,"AAAAAHd3+3Y=")</f>
        <v>#REF!</v>
      </c>
      <c r="DP37" t="e">
        <f>AND(DATASORT!#REF!,"AAAAAHd3+3c=")</f>
        <v>#REF!</v>
      </c>
      <c r="DQ37" t="e">
        <f>AND(DATASORT!#REF!,"AAAAAHd3+3g=")</f>
        <v>#REF!</v>
      </c>
      <c r="DR37" t="e">
        <f>AND(DATASORT!#REF!,"AAAAAHd3+3k=")</f>
        <v>#REF!</v>
      </c>
      <c r="DS37" t="e">
        <f>AND(DATASORT!#REF!,"AAAAAHd3+3o=")</f>
        <v>#REF!</v>
      </c>
      <c r="DT37" t="e">
        <f>AND(DATASORT!#REF!,"AAAAAHd3+3s=")</f>
        <v>#REF!</v>
      </c>
      <c r="DU37" t="e">
        <f>AND(DATASORT!#REF!,"AAAAAHd3+3w=")</f>
        <v>#REF!</v>
      </c>
      <c r="DV37" t="e">
        <f>AND(DATASORT!#REF!,"AAAAAHd3+30=")</f>
        <v>#REF!</v>
      </c>
      <c r="DW37" t="e">
        <f>AND(DATASORT!#REF!,"AAAAAHd3+34=")</f>
        <v>#REF!</v>
      </c>
      <c r="DX37" t="e">
        <f>AND(DATASORT!#REF!,"AAAAAHd3+38=")</f>
        <v>#REF!</v>
      </c>
      <c r="DY37" t="e">
        <f>AND(DATASORT!#REF!,"AAAAAHd3+4A=")</f>
        <v>#REF!</v>
      </c>
      <c r="DZ37" t="e">
        <f>AND(DATASORT!#REF!,"AAAAAHd3+4E=")</f>
        <v>#REF!</v>
      </c>
      <c r="EA37" t="e">
        <f>AND(DATASORT!#REF!,"AAAAAHd3+4I=")</f>
        <v>#REF!</v>
      </c>
      <c r="EB37" t="e">
        <f>AND(DATASORT!#REF!,"AAAAAHd3+4M=")</f>
        <v>#REF!</v>
      </c>
      <c r="EC37" t="e">
        <f>AND(DATASORT!#REF!,"AAAAAHd3+4Q=")</f>
        <v>#REF!</v>
      </c>
      <c r="ED37" t="e">
        <f>AND(DATASORT!#REF!,"AAAAAHd3+4U=")</f>
        <v>#REF!</v>
      </c>
      <c r="EE37" t="e">
        <f>AND(DATASORT!#REF!,"AAAAAHd3+4Y=")</f>
        <v>#REF!</v>
      </c>
      <c r="EF37" t="e">
        <f>AND(DATASORT!#REF!,"AAAAAHd3+4c=")</f>
        <v>#REF!</v>
      </c>
      <c r="EG37" t="e">
        <f>AND(DATASORT!#REF!,"AAAAAHd3+4g=")</f>
        <v>#REF!</v>
      </c>
      <c r="EH37" t="e">
        <f>AND(DATASORT!#REF!,"AAAAAHd3+4k=")</f>
        <v>#REF!</v>
      </c>
      <c r="EI37" t="e">
        <f>AND(DATASORT!#REF!,"AAAAAHd3+4o=")</f>
        <v>#REF!</v>
      </c>
      <c r="EJ37" t="e">
        <f>AND(DATASORT!#REF!,"AAAAAHd3+4s=")</f>
        <v>#REF!</v>
      </c>
      <c r="EK37" t="e">
        <f>AND(DATASORT!#REF!,"AAAAAHd3+4w=")</f>
        <v>#REF!</v>
      </c>
      <c r="EL37" t="e">
        <f>AND(DATASORT!#REF!,"AAAAAHd3+40=")</f>
        <v>#REF!</v>
      </c>
      <c r="EM37" t="e">
        <f>IF(DATASORT!#REF!,"AAAAAHd3+44=",0)</f>
        <v>#REF!</v>
      </c>
      <c r="EN37" t="e">
        <f>AND(DATASORT!#REF!,"AAAAAHd3+48=")</f>
        <v>#REF!</v>
      </c>
      <c r="EO37" t="e">
        <f>AND(DATASORT!#REF!,"AAAAAHd3+5A=")</f>
        <v>#REF!</v>
      </c>
      <c r="EP37" t="e">
        <f>AND(DATASORT!#REF!,"AAAAAHd3+5E=")</f>
        <v>#REF!</v>
      </c>
      <c r="EQ37" t="e">
        <f>AND(DATASORT!#REF!,"AAAAAHd3+5I=")</f>
        <v>#REF!</v>
      </c>
      <c r="ER37" t="e">
        <f>AND(DATASORT!#REF!,"AAAAAHd3+5M=")</f>
        <v>#REF!</v>
      </c>
      <c r="ES37" t="e">
        <f>AND(DATASORT!#REF!,"AAAAAHd3+5Q=")</f>
        <v>#REF!</v>
      </c>
      <c r="ET37" t="e">
        <f>AND(DATASORT!#REF!,"AAAAAHd3+5U=")</f>
        <v>#REF!</v>
      </c>
      <c r="EU37" t="e">
        <f>AND(DATASORT!#REF!,"AAAAAHd3+5Y=")</f>
        <v>#REF!</v>
      </c>
      <c r="EV37" t="e">
        <f>AND(DATASORT!#REF!,"AAAAAHd3+5c=")</f>
        <v>#REF!</v>
      </c>
      <c r="EW37" t="e">
        <f>AND(DATASORT!#REF!,"AAAAAHd3+5g=")</f>
        <v>#REF!</v>
      </c>
      <c r="EX37" t="e">
        <f>AND(DATASORT!#REF!,"AAAAAHd3+5k=")</f>
        <v>#REF!</v>
      </c>
      <c r="EY37" t="e">
        <f>AND(DATASORT!#REF!,"AAAAAHd3+5o=")</f>
        <v>#REF!</v>
      </c>
      <c r="EZ37" t="e">
        <f>AND(DATASORT!#REF!,"AAAAAHd3+5s=")</f>
        <v>#REF!</v>
      </c>
      <c r="FA37" t="e">
        <f>AND(DATASORT!#REF!,"AAAAAHd3+5w=")</f>
        <v>#REF!</v>
      </c>
      <c r="FB37" t="e">
        <f>AND(DATASORT!#REF!,"AAAAAHd3+50=")</f>
        <v>#REF!</v>
      </c>
      <c r="FC37" t="e">
        <f>AND(DATASORT!#REF!,"AAAAAHd3+54=")</f>
        <v>#REF!</v>
      </c>
      <c r="FD37" t="e">
        <f>AND(DATASORT!#REF!,"AAAAAHd3+58=")</f>
        <v>#REF!</v>
      </c>
      <c r="FE37" t="e">
        <f>AND(DATASORT!#REF!,"AAAAAHd3+6A=")</f>
        <v>#REF!</v>
      </c>
      <c r="FF37" t="e">
        <f>AND(DATASORT!#REF!,"AAAAAHd3+6E=")</f>
        <v>#REF!</v>
      </c>
      <c r="FG37" t="e">
        <f>AND(DATASORT!#REF!,"AAAAAHd3+6I=")</f>
        <v>#REF!</v>
      </c>
      <c r="FH37" t="e">
        <f>AND(DATASORT!#REF!,"AAAAAHd3+6M=")</f>
        <v>#REF!</v>
      </c>
      <c r="FI37" t="e">
        <f>AND(DATASORT!#REF!,"AAAAAHd3+6Q=")</f>
        <v>#REF!</v>
      </c>
      <c r="FJ37" t="e">
        <f>AND(DATASORT!#REF!,"AAAAAHd3+6U=")</f>
        <v>#REF!</v>
      </c>
      <c r="FK37" t="e">
        <f>AND(DATASORT!#REF!,"AAAAAHd3+6Y=")</f>
        <v>#REF!</v>
      </c>
      <c r="FL37" t="e">
        <f>AND(DATASORT!#REF!,"AAAAAHd3+6c=")</f>
        <v>#REF!</v>
      </c>
      <c r="FM37" t="e">
        <f>AND(DATASORT!#REF!,"AAAAAHd3+6g=")</f>
        <v>#REF!</v>
      </c>
      <c r="FN37" t="e">
        <f>AND(DATASORT!#REF!,"AAAAAHd3+6k=")</f>
        <v>#REF!</v>
      </c>
      <c r="FO37" t="e">
        <f>IF(DATASORT!#REF!,"AAAAAHd3+6o=",0)</f>
        <v>#REF!</v>
      </c>
      <c r="FP37" t="e">
        <f>AND(DATASORT!#REF!,"AAAAAHd3+6s=")</f>
        <v>#REF!</v>
      </c>
      <c r="FQ37" t="e">
        <f>AND(DATASORT!#REF!,"AAAAAHd3+6w=")</f>
        <v>#REF!</v>
      </c>
      <c r="FR37" t="e">
        <f>AND(DATASORT!#REF!,"AAAAAHd3+60=")</f>
        <v>#REF!</v>
      </c>
      <c r="FS37" t="e">
        <f>AND(DATASORT!#REF!,"AAAAAHd3+64=")</f>
        <v>#REF!</v>
      </c>
      <c r="FT37" t="e">
        <f>AND(DATASORT!#REF!,"AAAAAHd3+68=")</f>
        <v>#REF!</v>
      </c>
      <c r="FU37" t="e">
        <f>AND(DATASORT!#REF!,"AAAAAHd3+7A=")</f>
        <v>#REF!</v>
      </c>
      <c r="FV37" t="e">
        <f>AND(DATASORT!#REF!,"AAAAAHd3+7E=")</f>
        <v>#REF!</v>
      </c>
      <c r="FW37" t="e">
        <f>AND(DATASORT!#REF!,"AAAAAHd3+7I=")</f>
        <v>#REF!</v>
      </c>
      <c r="FX37" t="e">
        <f>AND(DATASORT!#REF!,"AAAAAHd3+7M=")</f>
        <v>#REF!</v>
      </c>
      <c r="FY37" t="e">
        <f>AND(DATASORT!#REF!,"AAAAAHd3+7Q=")</f>
        <v>#REF!</v>
      </c>
      <c r="FZ37" t="e">
        <f>AND(DATASORT!#REF!,"AAAAAHd3+7U=")</f>
        <v>#REF!</v>
      </c>
      <c r="GA37" t="e">
        <f>AND(DATASORT!#REF!,"AAAAAHd3+7Y=")</f>
        <v>#REF!</v>
      </c>
      <c r="GB37" t="e">
        <f>AND(DATASORT!#REF!,"AAAAAHd3+7c=")</f>
        <v>#REF!</v>
      </c>
      <c r="GC37" t="e">
        <f>AND(DATASORT!#REF!,"AAAAAHd3+7g=")</f>
        <v>#REF!</v>
      </c>
      <c r="GD37" t="e">
        <f>AND(DATASORT!#REF!,"AAAAAHd3+7k=")</f>
        <v>#REF!</v>
      </c>
      <c r="GE37" t="e">
        <f>AND(DATASORT!#REF!,"AAAAAHd3+7o=")</f>
        <v>#REF!</v>
      </c>
      <c r="GF37" t="e">
        <f>AND(DATASORT!#REF!,"AAAAAHd3+7s=")</f>
        <v>#REF!</v>
      </c>
      <c r="GG37" t="e">
        <f>AND(DATASORT!#REF!,"AAAAAHd3+7w=")</f>
        <v>#REF!</v>
      </c>
      <c r="GH37" t="e">
        <f>AND(DATASORT!#REF!,"AAAAAHd3+70=")</f>
        <v>#REF!</v>
      </c>
      <c r="GI37" t="e">
        <f>AND(DATASORT!#REF!,"AAAAAHd3+74=")</f>
        <v>#REF!</v>
      </c>
      <c r="GJ37" t="e">
        <f>AND(DATASORT!#REF!,"AAAAAHd3+78=")</f>
        <v>#REF!</v>
      </c>
      <c r="GK37" t="e">
        <f>AND(DATASORT!#REF!,"AAAAAHd3+8A=")</f>
        <v>#REF!</v>
      </c>
      <c r="GL37" t="e">
        <f>AND(DATASORT!#REF!,"AAAAAHd3+8E=")</f>
        <v>#REF!</v>
      </c>
      <c r="GM37" t="e">
        <f>AND(DATASORT!#REF!,"AAAAAHd3+8I=")</f>
        <v>#REF!</v>
      </c>
      <c r="GN37" t="e">
        <f>AND(DATASORT!#REF!,"AAAAAHd3+8M=")</f>
        <v>#REF!</v>
      </c>
      <c r="GO37" t="e">
        <f>AND(DATASORT!#REF!,"AAAAAHd3+8Q=")</f>
        <v>#REF!</v>
      </c>
      <c r="GP37" t="e">
        <f>AND(DATASORT!#REF!,"AAAAAHd3+8U=")</f>
        <v>#REF!</v>
      </c>
      <c r="GQ37" t="e">
        <f>IF(DATASORT!#REF!,"AAAAAHd3+8Y=",0)</f>
        <v>#REF!</v>
      </c>
      <c r="GR37" t="e">
        <f>AND(DATASORT!#REF!,"AAAAAHd3+8c=")</f>
        <v>#REF!</v>
      </c>
      <c r="GS37" t="e">
        <f>AND(DATASORT!#REF!,"AAAAAHd3+8g=")</f>
        <v>#REF!</v>
      </c>
      <c r="GT37" t="e">
        <f>AND(DATASORT!#REF!,"AAAAAHd3+8k=")</f>
        <v>#REF!</v>
      </c>
      <c r="GU37" t="e">
        <f>AND(DATASORT!#REF!,"AAAAAHd3+8o=")</f>
        <v>#REF!</v>
      </c>
      <c r="GV37" t="e">
        <f>AND(DATASORT!#REF!,"AAAAAHd3+8s=")</f>
        <v>#REF!</v>
      </c>
      <c r="GW37" t="e">
        <f>AND(DATASORT!#REF!,"AAAAAHd3+8w=")</f>
        <v>#REF!</v>
      </c>
      <c r="GX37" t="e">
        <f>AND(DATASORT!#REF!,"AAAAAHd3+80=")</f>
        <v>#REF!</v>
      </c>
      <c r="GY37" t="e">
        <f>AND(DATASORT!#REF!,"AAAAAHd3+84=")</f>
        <v>#REF!</v>
      </c>
      <c r="GZ37" t="e">
        <f>AND(DATASORT!#REF!,"AAAAAHd3+88=")</f>
        <v>#REF!</v>
      </c>
      <c r="HA37" t="e">
        <f>AND(DATASORT!#REF!,"AAAAAHd3+9A=")</f>
        <v>#REF!</v>
      </c>
      <c r="HB37" t="e">
        <f>AND(DATASORT!#REF!,"AAAAAHd3+9E=")</f>
        <v>#REF!</v>
      </c>
      <c r="HC37" t="e">
        <f>AND(DATASORT!#REF!,"AAAAAHd3+9I=")</f>
        <v>#REF!</v>
      </c>
      <c r="HD37" t="e">
        <f>AND(DATASORT!#REF!,"AAAAAHd3+9M=")</f>
        <v>#REF!</v>
      </c>
      <c r="HE37" t="e">
        <f>AND(DATASORT!#REF!,"AAAAAHd3+9Q=")</f>
        <v>#REF!</v>
      </c>
      <c r="HF37" t="e">
        <f>AND(DATASORT!#REF!,"AAAAAHd3+9U=")</f>
        <v>#REF!</v>
      </c>
      <c r="HG37" t="e">
        <f>AND(DATASORT!#REF!,"AAAAAHd3+9Y=")</f>
        <v>#REF!</v>
      </c>
      <c r="HH37" t="e">
        <f>AND(DATASORT!#REF!,"AAAAAHd3+9c=")</f>
        <v>#REF!</v>
      </c>
      <c r="HI37" t="e">
        <f>AND(DATASORT!#REF!,"AAAAAHd3+9g=")</f>
        <v>#REF!</v>
      </c>
      <c r="HJ37" t="e">
        <f>AND(DATASORT!#REF!,"AAAAAHd3+9k=")</f>
        <v>#REF!</v>
      </c>
      <c r="HK37" t="e">
        <f>AND(DATASORT!#REF!,"AAAAAHd3+9o=")</f>
        <v>#REF!</v>
      </c>
      <c r="HL37" t="e">
        <f>AND(DATASORT!#REF!,"AAAAAHd3+9s=")</f>
        <v>#REF!</v>
      </c>
      <c r="HM37" t="e">
        <f>AND(DATASORT!#REF!,"AAAAAHd3+9w=")</f>
        <v>#REF!</v>
      </c>
      <c r="HN37" t="e">
        <f>AND(DATASORT!#REF!,"AAAAAHd3+90=")</f>
        <v>#REF!</v>
      </c>
      <c r="HO37" t="e">
        <f>AND(DATASORT!#REF!,"AAAAAHd3+94=")</f>
        <v>#REF!</v>
      </c>
      <c r="HP37" t="e">
        <f>AND(DATASORT!#REF!,"AAAAAHd3+98=")</f>
        <v>#REF!</v>
      </c>
      <c r="HQ37" t="e">
        <f>AND(DATASORT!#REF!,"AAAAAHd3++A=")</f>
        <v>#REF!</v>
      </c>
      <c r="HR37" t="e">
        <f>AND(DATASORT!#REF!,"AAAAAHd3++E=")</f>
        <v>#REF!</v>
      </c>
      <c r="HS37" t="e">
        <f>IF(DATASORT!#REF!,"AAAAAHd3++I=",0)</f>
        <v>#REF!</v>
      </c>
      <c r="HT37" t="e">
        <f>AND(DATASORT!#REF!,"AAAAAHd3++M=")</f>
        <v>#REF!</v>
      </c>
      <c r="HU37" t="e">
        <f>AND(DATASORT!#REF!,"AAAAAHd3++Q=")</f>
        <v>#REF!</v>
      </c>
      <c r="HV37" t="e">
        <f>AND(DATASORT!#REF!,"AAAAAHd3++U=")</f>
        <v>#REF!</v>
      </c>
      <c r="HW37" t="e">
        <f>AND(DATASORT!#REF!,"AAAAAHd3++Y=")</f>
        <v>#REF!</v>
      </c>
      <c r="HX37" t="e">
        <f>AND(DATASORT!#REF!,"AAAAAHd3++c=")</f>
        <v>#REF!</v>
      </c>
      <c r="HY37" t="e">
        <f>AND(DATASORT!#REF!,"AAAAAHd3++g=")</f>
        <v>#REF!</v>
      </c>
      <c r="HZ37" t="e">
        <f>AND(DATASORT!#REF!,"AAAAAHd3++k=")</f>
        <v>#REF!</v>
      </c>
      <c r="IA37" t="e">
        <f>AND(DATASORT!#REF!,"AAAAAHd3++o=")</f>
        <v>#REF!</v>
      </c>
      <c r="IB37" t="e">
        <f>AND(DATASORT!#REF!,"AAAAAHd3++s=")</f>
        <v>#REF!</v>
      </c>
      <c r="IC37" t="e">
        <f>AND(DATASORT!#REF!,"AAAAAHd3++w=")</f>
        <v>#REF!</v>
      </c>
      <c r="ID37" t="e">
        <f>AND(DATASORT!#REF!,"AAAAAHd3++0=")</f>
        <v>#REF!</v>
      </c>
      <c r="IE37" t="e">
        <f>AND(DATASORT!#REF!,"AAAAAHd3++4=")</f>
        <v>#REF!</v>
      </c>
      <c r="IF37" t="e">
        <f>AND(DATASORT!#REF!,"AAAAAHd3++8=")</f>
        <v>#REF!</v>
      </c>
      <c r="IG37" t="e">
        <f>AND(DATASORT!#REF!,"AAAAAHd3+/A=")</f>
        <v>#REF!</v>
      </c>
      <c r="IH37" t="e">
        <f>AND(DATASORT!#REF!,"AAAAAHd3+/E=")</f>
        <v>#REF!</v>
      </c>
      <c r="II37" t="e">
        <f>AND(DATASORT!#REF!,"AAAAAHd3+/I=")</f>
        <v>#REF!</v>
      </c>
      <c r="IJ37" t="e">
        <f>AND(DATASORT!#REF!,"AAAAAHd3+/M=")</f>
        <v>#REF!</v>
      </c>
      <c r="IK37" t="e">
        <f>AND(DATASORT!#REF!,"AAAAAHd3+/Q=")</f>
        <v>#REF!</v>
      </c>
      <c r="IL37" t="e">
        <f>AND(DATASORT!#REF!,"AAAAAHd3+/U=")</f>
        <v>#REF!</v>
      </c>
      <c r="IM37" t="e">
        <f>AND(DATASORT!#REF!,"AAAAAHd3+/Y=")</f>
        <v>#REF!</v>
      </c>
      <c r="IN37" t="e">
        <f>AND(DATASORT!#REF!,"AAAAAHd3+/c=")</f>
        <v>#REF!</v>
      </c>
      <c r="IO37" t="e">
        <f>AND(DATASORT!#REF!,"AAAAAHd3+/g=")</f>
        <v>#REF!</v>
      </c>
      <c r="IP37" t="e">
        <f>AND(DATASORT!#REF!,"AAAAAHd3+/k=")</f>
        <v>#REF!</v>
      </c>
      <c r="IQ37" t="e">
        <f>AND(DATASORT!#REF!,"AAAAAHd3+/o=")</f>
        <v>#REF!</v>
      </c>
      <c r="IR37" t="e">
        <f>AND(DATASORT!#REF!,"AAAAAHd3+/s=")</f>
        <v>#REF!</v>
      </c>
      <c r="IS37" t="e">
        <f>AND(DATASORT!#REF!,"AAAAAHd3+/w=")</f>
        <v>#REF!</v>
      </c>
      <c r="IT37" t="e">
        <f>AND(DATASORT!#REF!,"AAAAAHd3+/0=")</f>
        <v>#REF!</v>
      </c>
      <c r="IU37" t="e">
        <f>IF(DATASORT!#REF!,"AAAAAHd3+/4=",0)</f>
        <v>#REF!</v>
      </c>
      <c r="IV37" t="e">
        <f>AND(DATASORT!#REF!,"AAAAAHd3+/8=")</f>
        <v>#REF!</v>
      </c>
    </row>
    <row r="38" spans="1:256">
      <c r="A38" t="e">
        <f>AND(DATASORT!#REF!,"AAAAAFxT+QA=")</f>
        <v>#REF!</v>
      </c>
      <c r="B38" t="e">
        <f>AND(DATASORT!#REF!,"AAAAAFxT+QE=")</f>
        <v>#REF!</v>
      </c>
      <c r="C38" t="e">
        <f>AND(DATASORT!#REF!,"AAAAAFxT+QI=")</f>
        <v>#REF!</v>
      </c>
      <c r="D38" t="e">
        <f>AND(DATASORT!#REF!,"AAAAAFxT+QM=")</f>
        <v>#REF!</v>
      </c>
      <c r="E38" t="e">
        <f>AND(DATASORT!#REF!,"AAAAAFxT+QQ=")</f>
        <v>#REF!</v>
      </c>
      <c r="F38" t="e">
        <f>AND(DATASORT!#REF!,"AAAAAFxT+QU=")</f>
        <v>#REF!</v>
      </c>
      <c r="G38" t="e">
        <f>AND(DATASORT!#REF!,"AAAAAFxT+QY=")</f>
        <v>#REF!</v>
      </c>
      <c r="H38" t="e">
        <f>AND(DATASORT!#REF!,"AAAAAFxT+Qc=")</f>
        <v>#REF!</v>
      </c>
      <c r="I38" t="e">
        <f>AND(DATASORT!#REF!,"AAAAAFxT+Qg=")</f>
        <v>#REF!</v>
      </c>
      <c r="J38" t="e">
        <f>AND(DATASORT!#REF!,"AAAAAFxT+Qk=")</f>
        <v>#REF!</v>
      </c>
      <c r="K38" t="e">
        <f>AND(DATASORT!#REF!,"AAAAAFxT+Qo=")</f>
        <v>#REF!</v>
      </c>
      <c r="L38" t="e">
        <f>AND(DATASORT!#REF!,"AAAAAFxT+Qs=")</f>
        <v>#REF!</v>
      </c>
      <c r="M38" t="e">
        <f>AND(DATASORT!#REF!,"AAAAAFxT+Qw=")</f>
        <v>#REF!</v>
      </c>
      <c r="N38" t="e">
        <f>AND(DATASORT!#REF!,"AAAAAFxT+Q0=")</f>
        <v>#REF!</v>
      </c>
      <c r="O38" t="e">
        <f>AND(DATASORT!#REF!,"AAAAAFxT+Q4=")</f>
        <v>#REF!</v>
      </c>
      <c r="P38" t="e">
        <f>AND(DATASORT!#REF!,"AAAAAFxT+Q8=")</f>
        <v>#REF!</v>
      </c>
      <c r="Q38" t="e">
        <f>AND(DATASORT!#REF!,"AAAAAFxT+RA=")</f>
        <v>#REF!</v>
      </c>
      <c r="R38" t="e">
        <f>AND(DATASORT!#REF!,"AAAAAFxT+RE=")</f>
        <v>#REF!</v>
      </c>
      <c r="S38" t="e">
        <f>AND(DATASORT!#REF!,"AAAAAFxT+RI=")</f>
        <v>#REF!</v>
      </c>
      <c r="T38" t="e">
        <f>AND(DATASORT!#REF!,"AAAAAFxT+RM=")</f>
        <v>#REF!</v>
      </c>
      <c r="U38" t="e">
        <f>AND(DATASORT!#REF!,"AAAAAFxT+RQ=")</f>
        <v>#REF!</v>
      </c>
      <c r="V38" t="e">
        <f>AND(DATASORT!#REF!,"AAAAAFxT+RU=")</f>
        <v>#REF!</v>
      </c>
      <c r="W38" t="e">
        <f>AND(DATASORT!#REF!,"AAAAAFxT+RY=")</f>
        <v>#REF!</v>
      </c>
      <c r="X38" t="e">
        <f>AND(DATASORT!#REF!,"AAAAAFxT+Rc=")</f>
        <v>#REF!</v>
      </c>
      <c r="Y38" t="e">
        <f>AND(DATASORT!#REF!,"AAAAAFxT+Rg=")</f>
        <v>#REF!</v>
      </c>
      <c r="Z38" t="e">
        <f>AND(DATASORT!#REF!,"AAAAAFxT+Rk=")</f>
        <v>#REF!</v>
      </c>
      <c r="AA38" t="e">
        <f>IF(DATASORT!#REF!,"AAAAAFxT+Ro=",0)</f>
        <v>#REF!</v>
      </c>
      <c r="AB38" t="e">
        <f>AND(DATASORT!#REF!,"AAAAAFxT+Rs=")</f>
        <v>#REF!</v>
      </c>
      <c r="AC38" t="e">
        <f>AND(DATASORT!#REF!,"AAAAAFxT+Rw=")</f>
        <v>#REF!</v>
      </c>
      <c r="AD38" t="e">
        <f>AND(DATASORT!#REF!,"AAAAAFxT+R0=")</f>
        <v>#REF!</v>
      </c>
      <c r="AE38" t="e">
        <f>AND(DATASORT!#REF!,"AAAAAFxT+R4=")</f>
        <v>#REF!</v>
      </c>
      <c r="AF38" t="e">
        <f>AND(DATASORT!#REF!,"AAAAAFxT+R8=")</f>
        <v>#REF!</v>
      </c>
      <c r="AG38" t="e">
        <f>AND(DATASORT!#REF!,"AAAAAFxT+SA=")</f>
        <v>#REF!</v>
      </c>
      <c r="AH38" t="e">
        <f>AND(DATASORT!#REF!,"AAAAAFxT+SE=")</f>
        <v>#REF!</v>
      </c>
      <c r="AI38" t="e">
        <f>AND(DATASORT!#REF!,"AAAAAFxT+SI=")</f>
        <v>#REF!</v>
      </c>
      <c r="AJ38" t="e">
        <f>AND(DATASORT!#REF!,"AAAAAFxT+SM=")</f>
        <v>#REF!</v>
      </c>
      <c r="AK38" t="e">
        <f>AND(DATASORT!#REF!,"AAAAAFxT+SQ=")</f>
        <v>#REF!</v>
      </c>
      <c r="AL38" t="e">
        <f>AND(DATASORT!#REF!,"AAAAAFxT+SU=")</f>
        <v>#REF!</v>
      </c>
      <c r="AM38" t="e">
        <f>AND(DATASORT!#REF!,"AAAAAFxT+SY=")</f>
        <v>#REF!</v>
      </c>
      <c r="AN38" t="e">
        <f>AND(DATASORT!#REF!,"AAAAAFxT+Sc=")</f>
        <v>#REF!</v>
      </c>
      <c r="AO38" t="e">
        <f>AND(DATASORT!#REF!,"AAAAAFxT+Sg=")</f>
        <v>#REF!</v>
      </c>
      <c r="AP38" t="e">
        <f>AND(DATASORT!#REF!,"AAAAAFxT+Sk=")</f>
        <v>#REF!</v>
      </c>
      <c r="AQ38" t="e">
        <f>AND(DATASORT!#REF!,"AAAAAFxT+So=")</f>
        <v>#REF!</v>
      </c>
      <c r="AR38" t="e">
        <f>AND(DATASORT!#REF!,"AAAAAFxT+Ss=")</f>
        <v>#REF!</v>
      </c>
      <c r="AS38" t="e">
        <f>AND(DATASORT!#REF!,"AAAAAFxT+Sw=")</f>
        <v>#REF!</v>
      </c>
      <c r="AT38" t="e">
        <f>AND(DATASORT!#REF!,"AAAAAFxT+S0=")</f>
        <v>#REF!</v>
      </c>
      <c r="AU38" t="e">
        <f>AND(DATASORT!#REF!,"AAAAAFxT+S4=")</f>
        <v>#REF!</v>
      </c>
      <c r="AV38" t="e">
        <f>AND(DATASORT!#REF!,"AAAAAFxT+S8=")</f>
        <v>#REF!</v>
      </c>
      <c r="AW38" t="e">
        <f>AND(DATASORT!#REF!,"AAAAAFxT+TA=")</f>
        <v>#REF!</v>
      </c>
      <c r="AX38" t="e">
        <f>AND(DATASORT!#REF!,"AAAAAFxT+TE=")</f>
        <v>#REF!</v>
      </c>
      <c r="AY38" t="e">
        <f>AND(DATASORT!#REF!,"AAAAAFxT+TI=")</f>
        <v>#REF!</v>
      </c>
      <c r="AZ38" t="e">
        <f>AND(DATASORT!#REF!,"AAAAAFxT+TM=")</f>
        <v>#REF!</v>
      </c>
      <c r="BA38" t="e">
        <f>AND(DATASORT!#REF!,"AAAAAFxT+TQ=")</f>
        <v>#REF!</v>
      </c>
      <c r="BB38" t="e">
        <f>AND(DATASORT!#REF!,"AAAAAFxT+TU=")</f>
        <v>#REF!</v>
      </c>
      <c r="BC38" t="e">
        <f>IF(DATASORT!#REF!,"AAAAAFxT+TY=",0)</f>
        <v>#REF!</v>
      </c>
      <c r="BD38" t="e">
        <f>AND(DATASORT!#REF!,"AAAAAFxT+Tc=")</f>
        <v>#REF!</v>
      </c>
      <c r="BE38" t="e">
        <f>AND(DATASORT!#REF!,"AAAAAFxT+Tg=")</f>
        <v>#REF!</v>
      </c>
      <c r="BF38" t="e">
        <f>AND(DATASORT!#REF!,"AAAAAFxT+Tk=")</f>
        <v>#REF!</v>
      </c>
      <c r="BG38" t="e">
        <f>AND(DATASORT!#REF!,"AAAAAFxT+To=")</f>
        <v>#REF!</v>
      </c>
      <c r="BH38" t="e">
        <f>AND(DATASORT!#REF!,"AAAAAFxT+Ts=")</f>
        <v>#REF!</v>
      </c>
      <c r="BI38" t="e">
        <f>AND(DATASORT!#REF!,"AAAAAFxT+Tw=")</f>
        <v>#REF!</v>
      </c>
      <c r="BJ38" t="e">
        <f>AND(DATASORT!#REF!,"AAAAAFxT+T0=")</f>
        <v>#REF!</v>
      </c>
      <c r="BK38" t="e">
        <f>AND(DATASORT!#REF!,"AAAAAFxT+T4=")</f>
        <v>#REF!</v>
      </c>
      <c r="BL38" t="e">
        <f>AND(DATASORT!#REF!,"AAAAAFxT+T8=")</f>
        <v>#REF!</v>
      </c>
      <c r="BM38" t="e">
        <f>AND(DATASORT!#REF!,"AAAAAFxT+UA=")</f>
        <v>#REF!</v>
      </c>
      <c r="BN38" t="e">
        <f>AND(DATASORT!#REF!,"AAAAAFxT+UE=")</f>
        <v>#REF!</v>
      </c>
      <c r="BO38" t="e">
        <f>AND(DATASORT!#REF!,"AAAAAFxT+UI=")</f>
        <v>#REF!</v>
      </c>
      <c r="BP38" t="e">
        <f>AND(DATASORT!#REF!,"AAAAAFxT+UM=")</f>
        <v>#REF!</v>
      </c>
      <c r="BQ38" t="e">
        <f>AND(DATASORT!#REF!,"AAAAAFxT+UQ=")</f>
        <v>#REF!</v>
      </c>
      <c r="BR38" t="e">
        <f>AND(DATASORT!#REF!,"AAAAAFxT+UU=")</f>
        <v>#REF!</v>
      </c>
      <c r="BS38" t="e">
        <f>AND(DATASORT!#REF!,"AAAAAFxT+UY=")</f>
        <v>#REF!</v>
      </c>
      <c r="BT38" t="e">
        <f>AND(DATASORT!#REF!,"AAAAAFxT+Uc=")</f>
        <v>#REF!</v>
      </c>
      <c r="BU38" t="e">
        <f>AND(DATASORT!#REF!,"AAAAAFxT+Ug=")</f>
        <v>#REF!</v>
      </c>
      <c r="BV38" t="e">
        <f>AND(DATASORT!#REF!,"AAAAAFxT+Uk=")</f>
        <v>#REF!</v>
      </c>
      <c r="BW38" t="e">
        <f>AND(DATASORT!#REF!,"AAAAAFxT+Uo=")</f>
        <v>#REF!</v>
      </c>
      <c r="BX38" t="e">
        <f>AND(DATASORT!#REF!,"AAAAAFxT+Us=")</f>
        <v>#REF!</v>
      </c>
      <c r="BY38" t="e">
        <f>AND(DATASORT!#REF!,"AAAAAFxT+Uw=")</f>
        <v>#REF!</v>
      </c>
      <c r="BZ38" t="e">
        <f>AND(DATASORT!#REF!,"AAAAAFxT+U0=")</f>
        <v>#REF!</v>
      </c>
      <c r="CA38" t="e">
        <f>AND(DATASORT!#REF!,"AAAAAFxT+U4=")</f>
        <v>#REF!</v>
      </c>
      <c r="CB38" t="e">
        <f>AND(DATASORT!#REF!,"AAAAAFxT+U8=")</f>
        <v>#REF!</v>
      </c>
      <c r="CC38" t="e">
        <f>AND(DATASORT!#REF!,"AAAAAFxT+VA=")</f>
        <v>#REF!</v>
      </c>
      <c r="CD38" t="e">
        <f>AND(DATASORT!#REF!,"AAAAAFxT+VE=")</f>
        <v>#REF!</v>
      </c>
      <c r="CE38" t="e">
        <f>IF(DATASORT!#REF!,"AAAAAFxT+VI=",0)</f>
        <v>#REF!</v>
      </c>
      <c r="CF38" t="e">
        <f>AND(DATASORT!#REF!,"AAAAAFxT+VM=")</f>
        <v>#REF!</v>
      </c>
      <c r="CG38" t="e">
        <f>AND(DATASORT!#REF!,"AAAAAFxT+VQ=")</f>
        <v>#REF!</v>
      </c>
      <c r="CH38" t="e">
        <f>AND(DATASORT!#REF!,"AAAAAFxT+VU=")</f>
        <v>#REF!</v>
      </c>
      <c r="CI38" t="e">
        <f>AND(DATASORT!#REF!,"AAAAAFxT+VY=")</f>
        <v>#REF!</v>
      </c>
      <c r="CJ38" t="e">
        <f>AND(DATASORT!#REF!,"AAAAAFxT+Vc=")</f>
        <v>#REF!</v>
      </c>
      <c r="CK38" t="e">
        <f>AND(DATASORT!#REF!,"AAAAAFxT+Vg=")</f>
        <v>#REF!</v>
      </c>
      <c r="CL38" t="e">
        <f>AND(DATASORT!#REF!,"AAAAAFxT+Vk=")</f>
        <v>#REF!</v>
      </c>
      <c r="CM38" t="e">
        <f>AND(DATASORT!#REF!,"AAAAAFxT+Vo=")</f>
        <v>#REF!</v>
      </c>
      <c r="CN38" t="e">
        <f>AND(DATASORT!#REF!,"AAAAAFxT+Vs=")</f>
        <v>#REF!</v>
      </c>
      <c r="CO38" t="e">
        <f>AND(DATASORT!#REF!,"AAAAAFxT+Vw=")</f>
        <v>#REF!</v>
      </c>
      <c r="CP38" t="e">
        <f>AND(DATASORT!#REF!,"AAAAAFxT+V0=")</f>
        <v>#REF!</v>
      </c>
      <c r="CQ38" t="e">
        <f>AND(DATASORT!#REF!,"AAAAAFxT+V4=")</f>
        <v>#REF!</v>
      </c>
      <c r="CR38" t="e">
        <f>AND(DATASORT!#REF!,"AAAAAFxT+V8=")</f>
        <v>#REF!</v>
      </c>
      <c r="CS38" t="e">
        <f>AND(DATASORT!#REF!,"AAAAAFxT+WA=")</f>
        <v>#REF!</v>
      </c>
      <c r="CT38" t="e">
        <f>AND(DATASORT!#REF!,"AAAAAFxT+WE=")</f>
        <v>#REF!</v>
      </c>
      <c r="CU38" t="e">
        <f>AND(DATASORT!#REF!,"AAAAAFxT+WI=")</f>
        <v>#REF!</v>
      </c>
      <c r="CV38" t="e">
        <f>AND(DATASORT!#REF!,"AAAAAFxT+WM=")</f>
        <v>#REF!</v>
      </c>
      <c r="CW38" t="e">
        <f>AND(DATASORT!#REF!,"AAAAAFxT+WQ=")</f>
        <v>#REF!</v>
      </c>
      <c r="CX38" t="e">
        <f>AND(DATASORT!#REF!,"AAAAAFxT+WU=")</f>
        <v>#REF!</v>
      </c>
      <c r="CY38" t="e">
        <f>AND(DATASORT!#REF!,"AAAAAFxT+WY=")</f>
        <v>#REF!</v>
      </c>
      <c r="CZ38" t="e">
        <f>AND(DATASORT!#REF!,"AAAAAFxT+Wc=")</f>
        <v>#REF!</v>
      </c>
      <c r="DA38" t="e">
        <f>AND(DATASORT!#REF!,"AAAAAFxT+Wg=")</f>
        <v>#REF!</v>
      </c>
      <c r="DB38" t="e">
        <f>AND(DATASORT!#REF!,"AAAAAFxT+Wk=")</f>
        <v>#REF!</v>
      </c>
      <c r="DC38" t="e">
        <f>AND(DATASORT!#REF!,"AAAAAFxT+Wo=")</f>
        <v>#REF!</v>
      </c>
      <c r="DD38" t="e">
        <f>AND(DATASORT!#REF!,"AAAAAFxT+Ws=")</f>
        <v>#REF!</v>
      </c>
      <c r="DE38" t="e">
        <f>AND(DATASORT!#REF!,"AAAAAFxT+Ww=")</f>
        <v>#REF!</v>
      </c>
      <c r="DF38" t="e">
        <f>AND(DATASORT!#REF!,"AAAAAFxT+W0=")</f>
        <v>#REF!</v>
      </c>
      <c r="DG38" t="e">
        <f>IF(DATASORT!#REF!,"AAAAAFxT+W4=",0)</f>
        <v>#REF!</v>
      </c>
      <c r="DH38" t="e">
        <f>AND(DATASORT!#REF!,"AAAAAFxT+W8=")</f>
        <v>#REF!</v>
      </c>
      <c r="DI38" t="e">
        <f>AND(DATASORT!#REF!,"AAAAAFxT+XA=")</f>
        <v>#REF!</v>
      </c>
      <c r="DJ38" t="e">
        <f>AND(DATASORT!#REF!,"AAAAAFxT+XE=")</f>
        <v>#REF!</v>
      </c>
      <c r="DK38" t="e">
        <f>AND(DATASORT!#REF!,"AAAAAFxT+XI=")</f>
        <v>#REF!</v>
      </c>
      <c r="DL38" t="e">
        <f>AND(DATASORT!#REF!,"AAAAAFxT+XM=")</f>
        <v>#REF!</v>
      </c>
      <c r="DM38" t="e">
        <f>AND(DATASORT!#REF!,"AAAAAFxT+XQ=")</f>
        <v>#REF!</v>
      </c>
      <c r="DN38" t="e">
        <f>AND(DATASORT!#REF!,"AAAAAFxT+XU=")</f>
        <v>#REF!</v>
      </c>
      <c r="DO38" t="e">
        <f>AND(DATASORT!#REF!,"AAAAAFxT+XY=")</f>
        <v>#REF!</v>
      </c>
      <c r="DP38" t="e">
        <f>AND(DATASORT!#REF!,"AAAAAFxT+Xc=")</f>
        <v>#REF!</v>
      </c>
      <c r="DQ38" t="e">
        <f>AND(DATASORT!#REF!,"AAAAAFxT+Xg=")</f>
        <v>#REF!</v>
      </c>
      <c r="DR38" t="e">
        <f>AND(DATASORT!#REF!,"AAAAAFxT+Xk=")</f>
        <v>#REF!</v>
      </c>
      <c r="DS38" t="e">
        <f>AND(DATASORT!#REF!,"AAAAAFxT+Xo=")</f>
        <v>#REF!</v>
      </c>
      <c r="DT38" t="e">
        <f>AND(DATASORT!#REF!,"AAAAAFxT+Xs=")</f>
        <v>#REF!</v>
      </c>
      <c r="DU38" t="e">
        <f>AND(DATASORT!#REF!,"AAAAAFxT+Xw=")</f>
        <v>#REF!</v>
      </c>
      <c r="DV38" t="e">
        <f>AND(DATASORT!#REF!,"AAAAAFxT+X0=")</f>
        <v>#REF!</v>
      </c>
      <c r="DW38" t="e">
        <f>AND(DATASORT!#REF!,"AAAAAFxT+X4=")</f>
        <v>#REF!</v>
      </c>
      <c r="DX38" t="e">
        <f>AND(DATASORT!#REF!,"AAAAAFxT+X8=")</f>
        <v>#REF!</v>
      </c>
      <c r="DY38" t="e">
        <f>AND(DATASORT!#REF!,"AAAAAFxT+YA=")</f>
        <v>#REF!</v>
      </c>
      <c r="DZ38" t="e">
        <f>AND(DATASORT!#REF!,"AAAAAFxT+YE=")</f>
        <v>#REF!</v>
      </c>
      <c r="EA38" t="e">
        <f>AND(DATASORT!#REF!,"AAAAAFxT+YI=")</f>
        <v>#REF!</v>
      </c>
      <c r="EB38" t="e">
        <f>AND(DATASORT!#REF!,"AAAAAFxT+YM=")</f>
        <v>#REF!</v>
      </c>
      <c r="EC38" t="e">
        <f>AND(DATASORT!#REF!,"AAAAAFxT+YQ=")</f>
        <v>#REF!</v>
      </c>
      <c r="ED38" t="e">
        <f>AND(DATASORT!#REF!,"AAAAAFxT+YU=")</f>
        <v>#REF!</v>
      </c>
      <c r="EE38" t="e">
        <f>AND(DATASORT!#REF!,"AAAAAFxT+YY=")</f>
        <v>#REF!</v>
      </c>
      <c r="EF38" t="e">
        <f>AND(DATASORT!#REF!,"AAAAAFxT+Yc=")</f>
        <v>#REF!</v>
      </c>
      <c r="EG38" t="e">
        <f>AND(DATASORT!#REF!,"AAAAAFxT+Yg=")</f>
        <v>#REF!</v>
      </c>
      <c r="EH38" t="e">
        <f>AND(DATASORT!#REF!,"AAAAAFxT+Yk=")</f>
        <v>#REF!</v>
      </c>
      <c r="EI38" t="e">
        <f>IF(DATASORT!#REF!,"AAAAAFxT+Yo=",0)</f>
        <v>#REF!</v>
      </c>
      <c r="EJ38" t="e">
        <f>AND(DATASORT!#REF!,"AAAAAFxT+Ys=")</f>
        <v>#REF!</v>
      </c>
      <c r="EK38" t="e">
        <f>AND(DATASORT!#REF!,"AAAAAFxT+Yw=")</f>
        <v>#REF!</v>
      </c>
      <c r="EL38" t="e">
        <f>AND(DATASORT!#REF!,"AAAAAFxT+Y0=")</f>
        <v>#REF!</v>
      </c>
      <c r="EM38" t="e">
        <f>AND(DATASORT!#REF!,"AAAAAFxT+Y4=")</f>
        <v>#REF!</v>
      </c>
      <c r="EN38" t="e">
        <f>AND(DATASORT!#REF!,"AAAAAFxT+Y8=")</f>
        <v>#REF!</v>
      </c>
      <c r="EO38" t="e">
        <f>AND(DATASORT!#REF!,"AAAAAFxT+ZA=")</f>
        <v>#REF!</v>
      </c>
      <c r="EP38" t="e">
        <f>AND(DATASORT!#REF!,"AAAAAFxT+ZE=")</f>
        <v>#REF!</v>
      </c>
      <c r="EQ38" t="e">
        <f>AND(DATASORT!#REF!,"AAAAAFxT+ZI=")</f>
        <v>#REF!</v>
      </c>
      <c r="ER38" t="e">
        <f>AND(DATASORT!#REF!,"AAAAAFxT+ZM=")</f>
        <v>#REF!</v>
      </c>
      <c r="ES38" t="e">
        <f>AND(DATASORT!#REF!,"AAAAAFxT+ZQ=")</f>
        <v>#REF!</v>
      </c>
      <c r="ET38" t="e">
        <f>AND(DATASORT!#REF!,"AAAAAFxT+ZU=")</f>
        <v>#REF!</v>
      </c>
      <c r="EU38" t="e">
        <f>AND(DATASORT!#REF!,"AAAAAFxT+ZY=")</f>
        <v>#REF!</v>
      </c>
      <c r="EV38" t="e">
        <f>AND(DATASORT!#REF!,"AAAAAFxT+Zc=")</f>
        <v>#REF!</v>
      </c>
      <c r="EW38" t="e">
        <f>AND(DATASORT!#REF!,"AAAAAFxT+Zg=")</f>
        <v>#REF!</v>
      </c>
      <c r="EX38" t="e">
        <f>AND(DATASORT!#REF!,"AAAAAFxT+Zk=")</f>
        <v>#REF!</v>
      </c>
      <c r="EY38" t="e">
        <f>AND(DATASORT!#REF!,"AAAAAFxT+Zo=")</f>
        <v>#REF!</v>
      </c>
      <c r="EZ38" t="e">
        <f>AND(DATASORT!#REF!,"AAAAAFxT+Zs=")</f>
        <v>#REF!</v>
      </c>
      <c r="FA38" t="e">
        <f>AND(DATASORT!#REF!,"AAAAAFxT+Zw=")</f>
        <v>#REF!</v>
      </c>
      <c r="FB38" t="e">
        <f>AND(DATASORT!#REF!,"AAAAAFxT+Z0=")</f>
        <v>#REF!</v>
      </c>
      <c r="FC38" t="e">
        <f>AND(DATASORT!#REF!,"AAAAAFxT+Z4=")</f>
        <v>#REF!</v>
      </c>
      <c r="FD38" t="e">
        <f>AND(DATASORT!#REF!,"AAAAAFxT+Z8=")</f>
        <v>#REF!</v>
      </c>
      <c r="FE38" t="e">
        <f>AND(DATASORT!#REF!,"AAAAAFxT+aA=")</f>
        <v>#REF!</v>
      </c>
      <c r="FF38" t="e">
        <f>AND(DATASORT!#REF!,"AAAAAFxT+aE=")</f>
        <v>#REF!</v>
      </c>
      <c r="FG38" t="e">
        <f>AND(DATASORT!#REF!,"AAAAAFxT+aI=")</f>
        <v>#REF!</v>
      </c>
      <c r="FH38" t="e">
        <f>AND(DATASORT!#REF!,"AAAAAFxT+aM=")</f>
        <v>#REF!</v>
      </c>
      <c r="FI38" t="e">
        <f>AND(DATASORT!#REF!,"AAAAAFxT+aQ=")</f>
        <v>#REF!</v>
      </c>
      <c r="FJ38" t="e">
        <f>AND(DATASORT!#REF!,"AAAAAFxT+aU=")</f>
        <v>#REF!</v>
      </c>
      <c r="FK38" t="e">
        <f>IF(DATASORT!#REF!,"AAAAAFxT+aY=",0)</f>
        <v>#REF!</v>
      </c>
      <c r="FL38" t="e">
        <f>AND(DATASORT!#REF!,"AAAAAFxT+ac=")</f>
        <v>#REF!</v>
      </c>
      <c r="FM38" t="e">
        <f>AND(DATASORT!#REF!,"AAAAAFxT+ag=")</f>
        <v>#REF!</v>
      </c>
      <c r="FN38" t="e">
        <f>AND(DATASORT!#REF!,"AAAAAFxT+ak=")</f>
        <v>#REF!</v>
      </c>
      <c r="FO38" t="e">
        <f>AND(DATASORT!#REF!,"AAAAAFxT+ao=")</f>
        <v>#REF!</v>
      </c>
      <c r="FP38" t="e">
        <f>AND(DATASORT!#REF!,"AAAAAFxT+as=")</f>
        <v>#REF!</v>
      </c>
      <c r="FQ38" t="e">
        <f>AND(DATASORT!#REF!,"AAAAAFxT+aw=")</f>
        <v>#REF!</v>
      </c>
      <c r="FR38" t="e">
        <f>AND(DATASORT!#REF!,"AAAAAFxT+a0=")</f>
        <v>#REF!</v>
      </c>
      <c r="FS38" t="e">
        <f>AND(DATASORT!#REF!,"AAAAAFxT+a4=")</f>
        <v>#REF!</v>
      </c>
      <c r="FT38" t="e">
        <f>AND(DATASORT!#REF!,"AAAAAFxT+a8=")</f>
        <v>#REF!</v>
      </c>
      <c r="FU38" t="e">
        <f>AND(DATASORT!#REF!,"AAAAAFxT+bA=")</f>
        <v>#REF!</v>
      </c>
      <c r="FV38" t="e">
        <f>AND(DATASORT!#REF!,"AAAAAFxT+bE=")</f>
        <v>#REF!</v>
      </c>
      <c r="FW38" t="e">
        <f>AND(DATASORT!#REF!,"AAAAAFxT+bI=")</f>
        <v>#REF!</v>
      </c>
      <c r="FX38" t="e">
        <f>AND(DATASORT!#REF!,"AAAAAFxT+bM=")</f>
        <v>#REF!</v>
      </c>
      <c r="FY38" t="e">
        <f>AND(DATASORT!#REF!,"AAAAAFxT+bQ=")</f>
        <v>#REF!</v>
      </c>
      <c r="FZ38" t="e">
        <f>AND(DATASORT!#REF!,"AAAAAFxT+bU=")</f>
        <v>#REF!</v>
      </c>
      <c r="GA38" t="e">
        <f>AND(DATASORT!#REF!,"AAAAAFxT+bY=")</f>
        <v>#REF!</v>
      </c>
      <c r="GB38" t="e">
        <f>AND(DATASORT!#REF!,"AAAAAFxT+bc=")</f>
        <v>#REF!</v>
      </c>
      <c r="GC38" t="e">
        <f>AND(DATASORT!#REF!,"AAAAAFxT+bg=")</f>
        <v>#REF!</v>
      </c>
      <c r="GD38" t="e">
        <f>AND(DATASORT!#REF!,"AAAAAFxT+bk=")</f>
        <v>#REF!</v>
      </c>
      <c r="GE38" t="e">
        <f>AND(DATASORT!#REF!,"AAAAAFxT+bo=")</f>
        <v>#REF!</v>
      </c>
      <c r="GF38" t="e">
        <f>AND(DATASORT!#REF!,"AAAAAFxT+bs=")</f>
        <v>#REF!</v>
      </c>
      <c r="GG38" t="e">
        <f>AND(DATASORT!#REF!,"AAAAAFxT+bw=")</f>
        <v>#REF!</v>
      </c>
      <c r="GH38" t="e">
        <f>AND(DATASORT!#REF!,"AAAAAFxT+b0=")</f>
        <v>#REF!</v>
      </c>
      <c r="GI38" t="e">
        <f>AND(DATASORT!#REF!,"AAAAAFxT+b4=")</f>
        <v>#REF!</v>
      </c>
      <c r="GJ38" t="e">
        <f>AND(DATASORT!#REF!,"AAAAAFxT+b8=")</f>
        <v>#REF!</v>
      </c>
      <c r="GK38" t="e">
        <f>AND(DATASORT!#REF!,"AAAAAFxT+cA=")</f>
        <v>#REF!</v>
      </c>
      <c r="GL38" t="e">
        <f>AND(DATASORT!#REF!,"AAAAAFxT+cE=")</f>
        <v>#REF!</v>
      </c>
      <c r="GM38" t="e">
        <f>IF(DATASORT!#REF!,"AAAAAFxT+cI=",0)</f>
        <v>#REF!</v>
      </c>
      <c r="GN38" t="e">
        <f>AND(DATASORT!#REF!,"AAAAAFxT+cM=")</f>
        <v>#REF!</v>
      </c>
      <c r="GO38" t="e">
        <f>AND(DATASORT!#REF!,"AAAAAFxT+cQ=")</f>
        <v>#REF!</v>
      </c>
      <c r="GP38" t="e">
        <f>AND(DATASORT!#REF!,"AAAAAFxT+cU=")</f>
        <v>#REF!</v>
      </c>
      <c r="GQ38" t="e">
        <f>AND(DATASORT!#REF!,"AAAAAFxT+cY=")</f>
        <v>#REF!</v>
      </c>
      <c r="GR38" t="e">
        <f>AND(DATASORT!#REF!,"AAAAAFxT+cc=")</f>
        <v>#REF!</v>
      </c>
      <c r="GS38" t="e">
        <f>AND(DATASORT!#REF!,"AAAAAFxT+cg=")</f>
        <v>#REF!</v>
      </c>
      <c r="GT38" t="e">
        <f>AND(DATASORT!#REF!,"AAAAAFxT+ck=")</f>
        <v>#REF!</v>
      </c>
      <c r="GU38" t="e">
        <f>AND(DATASORT!#REF!,"AAAAAFxT+co=")</f>
        <v>#REF!</v>
      </c>
      <c r="GV38" t="e">
        <f>AND(DATASORT!#REF!,"AAAAAFxT+cs=")</f>
        <v>#REF!</v>
      </c>
      <c r="GW38" t="e">
        <f>AND(DATASORT!#REF!,"AAAAAFxT+cw=")</f>
        <v>#REF!</v>
      </c>
      <c r="GX38" t="e">
        <f>AND(DATASORT!#REF!,"AAAAAFxT+c0=")</f>
        <v>#REF!</v>
      </c>
      <c r="GY38" t="e">
        <f>AND(DATASORT!#REF!,"AAAAAFxT+c4=")</f>
        <v>#REF!</v>
      </c>
      <c r="GZ38" t="e">
        <f>AND(DATASORT!#REF!,"AAAAAFxT+c8=")</f>
        <v>#REF!</v>
      </c>
      <c r="HA38" t="e">
        <f>AND(DATASORT!#REF!,"AAAAAFxT+dA=")</f>
        <v>#REF!</v>
      </c>
      <c r="HB38" t="e">
        <f>AND(DATASORT!#REF!,"AAAAAFxT+dE=")</f>
        <v>#REF!</v>
      </c>
      <c r="HC38" t="e">
        <f>AND(DATASORT!#REF!,"AAAAAFxT+dI=")</f>
        <v>#REF!</v>
      </c>
      <c r="HD38" t="e">
        <f>AND(DATASORT!#REF!,"AAAAAFxT+dM=")</f>
        <v>#REF!</v>
      </c>
      <c r="HE38" t="e">
        <f>AND(DATASORT!#REF!,"AAAAAFxT+dQ=")</f>
        <v>#REF!</v>
      </c>
      <c r="HF38" t="e">
        <f>AND(DATASORT!#REF!,"AAAAAFxT+dU=")</f>
        <v>#REF!</v>
      </c>
      <c r="HG38" t="e">
        <f>AND(DATASORT!#REF!,"AAAAAFxT+dY=")</f>
        <v>#REF!</v>
      </c>
      <c r="HH38" t="e">
        <f>AND(DATASORT!#REF!,"AAAAAFxT+dc=")</f>
        <v>#REF!</v>
      </c>
      <c r="HI38" t="e">
        <f>AND(DATASORT!#REF!,"AAAAAFxT+dg=")</f>
        <v>#REF!</v>
      </c>
      <c r="HJ38" t="e">
        <f>AND(DATASORT!#REF!,"AAAAAFxT+dk=")</f>
        <v>#REF!</v>
      </c>
      <c r="HK38" t="e">
        <f>AND(DATASORT!#REF!,"AAAAAFxT+do=")</f>
        <v>#REF!</v>
      </c>
      <c r="HL38" t="e">
        <f>AND(DATASORT!#REF!,"AAAAAFxT+ds=")</f>
        <v>#REF!</v>
      </c>
      <c r="HM38" t="e">
        <f>AND(DATASORT!#REF!,"AAAAAFxT+dw=")</f>
        <v>#REF!</v>
      </c>
      <c r="HN38" t="e">
        <f>AND(DATASORT!#REF!,"AAAAAFxT+d0=")</f>
        <v>#REF!</v>
      </c>
      <c r="HO38" t="e">
        <f>IF(DATASORT!#REF!,"AAAAAFxT+d4=",0)</f>
        <v>#REF!</v>
      </c>
      <c r="HP38" t="e">
        <f>AND(DATASORT!#REF!,"AAAAAFxT+d8=")</f>
        <v>#REF!</v>
      </c>
      <c r="HQ38" t="e">
        <f>AND(DATASORT!#REF!,"AAAAAFxT+eA=")</f>
        <v>#REF!</v>
      </c>
      <c r="HR38" t="e">
        <f>AND(DATASORT!#REF!,"AAAAAFxT+eE=")</f>
        <v>#REF!</v>
      </c>
      <c r="HS38" t="e">
        <f>AND(DATASORT!#REF!,"AAAAAFxT+eI=")</f>
        <v>#REF!</v>
      </c>
      <c r="HT38" t="e">
        <f>AND(DATASORT!#REF!,"AAAAAFxT+eM=")</f>
        <v>#REF!</v>
      </c>
      <c r="HU38" t="e">
        <f>AND(DATASORT!#REF!,"AAAAAFxT+eQ=")</f>
        <v>#REF!</v>
      </c>
      <c r="HV38" t="e">
        <f>AND(DATASORT!#REF!,"AAAAAFxT+eU=")</f>
        <v>#REF!</v>
      </c>
      <c r="HW38" t="e">
        <f>AND(DATASORT!#REF!,"AAAAAFxT+eY=")</f>
        <v>#REF!</v>
      </c>
      <c r="HX38" t="e">
        <f>AND(DATASORT!#REF!,"AAAAAFxT+ec=")</f>
        <v>#REF!</v>
      </c>
      <c r="HY38" t="e">
        <f>AND(DATASORT!#REF!,"AAAAAFxT+eg=")</f>
        <v>#REF!</v>
      </c>
      <c r="HZ38" t="e">
        <f>AND(DATASORT!#REF!,"AAAAAFxT+ek=")</f>
        <v>#REF!</v>
      </c>
      <c r="IA38" t="e">
        <f>AND(DATASORT!#REF!,"AAAAAFxT+eo=")</f>
        <v>#REF!</v>
      </c>
      <c r="IB38" t="e">
        <f>AND(DATASORT!#REF!,"AAAAAFxT+es=")</f>
        <v>#REF!</v>
      </c>
      <c r="IC38" t="e">
        <f>AND(DATASORT!#REF!,"AAAAAFxT+ew=")</f>
        <v>#REF!</v>
      </c>
      <c r="ID38" t="e">
        <f>AND(DATASORT!#REF!,"AAAAAFxT+e0=")</f>
        <v>#REF!</v>
      </c>
      <c r="IE38" t="e">
        <f>AND(DATASORT!#REF!,"AAAAAFxT+e4=")</f>
        <v>#REF!</v>
      </c>
      <c r="IF38" t="e">
        <f>AND(DATASORT!#REF!,"AAAAAFxT+e8=")</f>
        <v>#REF!</v>
      </c>
      <c r="IG38" t="e">
        <f>AND(DATASORT!#REF!,"AAAAAFxT+fA=")</f>
        <v>#REF!</v>
      </c>
      <c r="IH38" t="e">
        <f>AND(DATASORT!#REF!,"AAAAAFxT+fE=")</f>
        <v>#REF!</v>
      </c>
      <c r="II38" t="e">
        <f>AND(DATASORT!#REF!,"AAAAAFxT+fI=")</f>
        <v>#REF!</v>
      </c>
      <c r="IJ38" t="e">
        <f>AND(DATASORT!#REF!,"AAAAAFxT+fM=")</f>
        <v>#REF!</v>
      </c>
      <c r="IK38" t="e">
        <f>AND(DATASORT!#REF!,"AAAAAFxT+fQ=")</f>
        <v>#REF!</v>
      </c>
      <c r="IL38" t="e">
        <f>AND(DATASORT!#REF!,"AAAAAFxT+fU=")</f>
        <v>#REF!</v>
      </c>
      <c r="IM38" t="e">
        <f>AND(DATASORT!#REF!,"AAAAAFxT+fY=")</f>
        <v>#REF!</v>
      </c>
      <c r="IN38" t="e">
        <f>AND(DATASORT!#REF!,"AAAAAFxT+fc=")</f>
        <v>#REF!</v>
      </c>
      <c r="IO38" t="e">
        <f>AND(DATASORT!#REF!,"AAAAAFxT+fg=")</f>
        <v>#REF!</v>
      </c>
      <c r="IP38" t="e">
        <f>AND(DATASORT!#REF!,"AAAAAFxT+fk=")</f>
        <v>#REF!</v>
      </c>
      <c r="IQ38" t="e">
        <f>IF(DATASORT!#REF!,"AAAAAFxT+fo=",0)</f>
        <v>#REF!</v>
      </c>
      <c r="IR38" t="e">
        <f>AND(DATASORT!#REF!,"AAAAAFxT+fs=")</f>
        <v>#REF!</v>
      </c>
      <c r="IS38" t="e">
        <f>AND(DATASORT!#REF!,"AAAAAFxT+fw=")</f>
        <v>#REF!</v>
      </c>
      <c r="IT38" t="e">
        <f>AND(DATASORT!#REF!,"AAAAAFxT+f0=")</f>
        <v>#REF!</v>
      </c>
      <c r="IU38" t="e">
        <f>AND(DATASORT!#REF!,"AAAAAFxT+f4=")</f>
        <v>#REF!</v>
      </c>
      <c r="IV38" t="e">
        <f>AND(DATASORT!#REF!,"AAAAAFxT+f8=")</f>
        <v>#REF!</v>
      </c>
    </row>
    <row r="39" spans="1:256">
      <c r="A39" t="e">
        <f>AND(DATASORT!#REF!,"AAAAAC9/fAA=")</f>
        <v>#REF!</v>
      </c>
      <c r="B39" t="e">
        <f>AND(DATASORT!#REF!,"AAAAAC9/fAE=")</f>
        <v>#REF!</v>
      </c>
      <c r="C39" t="e">
        <f>AND(DATASORT!#REF!,"AAAAAC9/fAI=")</f>
        <v>#REF!</v>
      </c>
      <c r="D39" t="e">
        <f>AND(DATASORT!#REF!,"AAAAAC9/fAM=")</f>
        <v>#REF!</v>
      </c>
      <c r="E39" t="e">
        <f>AND(DATASORT!#REF!,"AAAAAC9/fAQ=")</f>
        <v>#REF!</v>
      </c>
      <c r="F39" t="e">
        <f>AND(DATASORT!#REF!,"AAAAAC9/fAU=")</f>
        <v>#REF!</v>
      </c>
      <c r="G39" t="e">
        <f>AND(DATASORT!#REF!,"AAAAAC9/fAY=")</f>
        <v>#REF!</v>
      </c>
      <c r="H39" t="e">
        <f>AND(DATASORT!#REF!,"AAAAAC9/fAc=")</f>
        <v>#REF!</v>
      </c>
      <c r="I39" t="e">
        <f>AND(DATASORT!#REF!,"AAAAAC9/fAg=")</f>
        <v>#REF!</v>
      </c>
      <c r="J39" t="e">
        <f>AND(DATASORT!#REF!,"AAAAAC9/fAk=")</f>
        <v>#REF!</v>
      </c>
      <c r="K39" t="e">
        <f>AND(DATASORT!#REF!,"AAAAAC9/fAo=")</f>
        <v>#REF!</v>
      </c>
      <c r="L39" t="e">
        <f>AND(DATASORT!#REF!,"AAAAAC9/fAs=")</f>
        <v>#REF!</v>
      </c>
      <c r="M39" t="e">
        <f>AND(DATASORT!#REF!,"AAAAAC9/fAw=")</f>
        <v>#REF!</v>
      </c>
      <c r="N39" t="e">
        <f>AND(DATASORT!#REF!,"AAAAAC9/fA0=")</f>
        <v>#REF!</v>
      </c>
      <c r="O39" t="e">
        <f>AND(DATASORT!#REF!,"AAAAAC9/fA4=")</f>
        <v>#REF!</v>
      </c>
      <c r="P39" t="e">
        <f>AND(DATASORT!#REF!,"AAAAAC9/fA8=")</f>
        <v>#REF!</v>
      </c>
      <c r="Q39" t="e">
        <f>AND(DATASORT!#REF!,"AAAAAC9/fBA=")</f>
        <v>#REF!</v>
      </c>
      <c r="R39" t="e">
        <f>AND(DATASORT!#REF!,"AAAAAC9/fBE=")</f>
        <v>#REF!</v>
      </c>
      <c r="S39" t="e">
        <f>AND(DATASORT!#REF!,"AAAAAC9/fBI=")</f>
        <v>#REF!</v>
      </c>
      <c r="T39" t="e">
        <f>AND(DATASORT!#REF!,"AAAAAC9/fBM=")</f>
        <v>#REF!</v>
      </c>
      <c r="U39" t="e">
        <f>AND(DATASORT!#REF!,"AAAAAC9/fBQ=")</f>
        <v>#REF!</v>
      </c>
      <c r="V39" t="e">
        <f>AND(DATASORT!#REF!,"AAAAAC9/fBU=")</f>
        <v>#REF!</v>
      </c>
      <c r="W39" t="e">
        <f>IF(DATASORT!#REF!,"AAAAAC9/fBY=",0)</f>
        <v>#REF!</v>
      </c>
      <c r="X39" t="e">
        <f>AND(DATASORT!#REF!,"AAAAAC9/fBc=")</f>
        <v>#REF!</v>
      </c>
      <c r="Y39" t="e">
        <f>AND(DATASORT!#REF!,"AAAAAC9/fBg=")</f>
        <v>#REF!</v>
      </c>
      <c r="Z39" t="e">
        <f>AND(DATASORT!#REF!,"AAAAAC9/fBk=")</f>
        <v>#REF!</v>
      </c>
      <c r="AA39" t="e">
        <f>AND(DATASORT!#REF!,"AAAAAC9/fBo=")</f>
        <v>#REF!</v>
      </c>
      <c r="AB39" t="e">
        <f>AND(DATASORT!#REF!,"AAAAAC9/fBs=")</f>
        <v>#REF!</v>
      </c>
      <c r="AC39" t="e">
        <f>AND(DATASORT!#REF!,"AAAAAC9/fBw=")</f>
        <v>#REF!</v>
      </c>
      <c r="AD39" t="e">
        <f>AND(DATASORT!#REF!,"AAAAAC9/fB0=")</f>
        <v>#REF!</v>
      </c>
      <c r="AE39" t="e">
        <f>AND(DATASORT!#REF!,"AAAAAC9/fB4=")</f>
        <v>#REF!</v>
      </c>
      <c r="AF39" t="e">
        <f>AND(DATASORT!#REF!,"AAAAAC9/fB8=")</f>
        <v>#REF!</v>
      </c>
      <c r="AG39" t="e">
        <f>AND(DATASORT!#REF!,"AAAAAC9/fCA=")</f>
        <v>#REF!</v>
      </c>
      <c r="AH39" t="e">
        <f>AND(DATASORT!#REF!,"AAAAAC9/fCE=")</f>
        <v>#REF!</v>
      </c>
      <c r="AI39" t="e">
        <f>AND(DATASORT!#REF!,"AAAAAC9/fCI=")</f>
        <v>#REF!</v>
      </c>
      <c r="AJ39" t="e">
        <f>AND(DATASORT!#REF!,"AAAAAC9/fCM=")</f>
        <v>#REF!</v>
      </c>
      <c r="AK39" t="e">
        <f>AND(DATASORT!#REF!,"AAAAAC9/fCQ=")</f>
        <v>#REF!</v>
      </c>
      <c r="AL39" t="e">
        <f>AND(DATASORT!#REF!,"AAAAAC9/fCU=")</f>
        <v>#REF!</v>
      </c>
      <c r="AM39" t="e">
        <f>AND(DATASORT!#REF!,"AAAAAC9/fCY=")</f>
        <v>#REF!</v>
      </c>
      <c r="AN39" t="e">
        <f>AND(DATASORT!#REF!,"AAAAAC9/fCc=")</f>
        <v>#REF!</v>
      </c>
      <c r="AO39" t="e">
        <f>AND(DATASORT!#REF!,"AAAAAC9/fCg=")</f>
        <v>#REF!</v>
      </c>
      <c r="AP39" t="e">
        <f>AND(DATASORT!#REF!,"AAAAAC9/fCk=")</f>
        <v>#REF!</v>
      </c>
      <c r="AQ39" t="e">
        <f>AND(DATASORT!#REF!,"AAAAAC9/fCo=")</f>
        <v>#REF!</v>
      </c>
      <c r="AR39" t="e">
        <f>AND(DATASORT!#REF!,"AAAAAC9/fCs=")</f>
        <v>#REF!</v>
      </c>
      <c r="AS39" t="e">
        <f>AND(DATASORT!#REF!,"AAAAAC9/fCw=")</f>
        <v>#REF!</v>
      </c>
      <c r="AT39" t="e">
        <f>AND(DATASORT!#REF!,"AAAAAC9/fC0=")</f>
        <v>#REF!</v>
      </c>
      <c r="AU39" t="e">
        <f>AND(DATASORT!#REF!,"AAAAAC9/fC4=")</f>
        <v>#REF!</v>
      </c>
      <c r="AV39" t="e">
        <f>AND(DATASORT!#REF!,"AAAAAC9/fC8=")</f>
        <v>#REF!</v>
      </c>
      <c r="AW39" t="e">
        <f>AND(DATASORT!#REF!,"AAAAAC9/fDA=")</f>
        <v>#REF!</v>
      </c>
      <c r="AX39" t="e">
        <f>AND(DATASORT!#REF!,"AAAAAC9/fDE=")</f>
        <v>#REF!</v>
      </c>
      <c r="AY39" t="e">
        <f>IF(DATASORT!#REF!,"AAAAAC9/fDI=",0)</f>
        <v>#REF!</v>
      </c>
      <c r="AZ39" t="e">
        <f>AND(DATASORT!#REF!,"AAAAAC9/fDM=")</f>
        <v>#REF!</v>
      </c>
      <c r="BA39" t="e">
        <f>AND(DATASORT!#REF!,"AAAAAC9/fDQ=")</f>
        <v>#REF!</v>
      </c>
      <c r="BB39" t="e">
        <f>AND(DATASORT!#REF!,"AAAAAC9/fDU=")</f>
        <v>#REF!</v>
      </c>
      <c r="BC39" t="e">
        <f>AND(DATASORT!#REF!,"AAAAAC9/fDY=")</f>
        <v>#REF!</v>
      </c>
      <c r="BD39" t="e">
        <f>AND(DATASORT!#REF!,"AAAAAC9/fDc=")</f>
        <v>#REF!</v>
      </c>
      <c r="BE39" t="e">
        <f>AND(DATASORT!#REF!,"AAAAAC9/fDg=")</f>
        <v>#REF!</v>
      </c>
      <c r="BF39" t="e">
        <f>AND(DATASORT!#REF!,"AAAAAC9/fDk=")</f>
        <v>#REF!</v>
      </c>
      <c r="BG39" t="e">
        <f>AND(DATASORT!#REF!,"AAAAAC9/fDo=")</f>
        <v>#REF!</v>
      </c>
      <c r="BH39" t="e">
        <f>AND(DATASORT!#REF!,"AAAAAC9/fDs=")</f>
        <v>#REF!</v>
      </c>
      <c r="BI39" t="e">
        <f>AND(DATASORT!#REF!,"AAAAAC9/fDw=")</f>
        <v>#REF!</v>
      </c>
      <c r="BJ39" t="e">
        <f>AND(DATASORT!#REF!,"AAAAAC9/fD0=")</f>
        <v>#REF!</v>
      </c>
      <c r="BK39" t="e">
        <f>AND(DATASORT!#REF!,"AAAAAC9/fD4=")</f>
        <v>#REF!</v>
      </c>
      <c r="BL39" t="e">
        <f>AND(DATASORT!#REF!,"AAAAAC9/fD8=")</f>
        <v>#REF!</v>
      </c>
      <c r="BM39" t="e">
        <f>AND(DATASORT!#REF!,"AAAAAC9/fEA=")</f>
        <v>#REF!</v>
      </c>
      <c r="BN39" t="e">
        <f>AND(DATASORT!#REF!,"AAAAAC9/fEE=")</f>
        <v>#REF!</v>
      </c>
      <c r="BO39" t="e">
        <f>AND(DATASORT!#REF!,"AAAAAC9/fEI=")</f>
        <v>#REF!</v>
      </c>
      <c r="BP39" t="e">
        <f>AND(DATASORT!#REF!,"AAAAAC9/fEM=")</f>
        <v>#REF!</v>
      </c>
      <c r="BQ39" t="e">
        <f>AND(DATASORT!#REF!,"AAAAAC9/fEQ=")</f>
        <v>#REF!</v>
      </c>
      <c r="BR39" t="e">
        <f>AND(DATASORT!#REF!,"AAAAAC9/fEU=")</f>
        <v>#REF!</v>
      </c>
      <c r="BS39" t="e">
        <f>AND(DATASORT!#REF!,"AAAAAC9/fEY=")</f>
        <v>#REF!</v>
      </c>
      <c r="BT39" t="e">
        <f>AND(DATASORT!#REF!,"AAAAAC9/fEc=")</f>
        <v>#REF!</v>
      </c>
      <c r="BU39" t="e">
        <f>AND(DATASORT!#REF!,"AAAAAC9/fEg=")</f>
        <v>#REF!</v>
      </c>
      <c r="BV39" t="e">
        <f>AND(DATASORT!#REF!,"AAAAAC9/fEk=")</f>
        <v>#REF!</v>
      </c>
      <c r="BW39" t="e">
        <f>AND(DATASORT!#REF!,"AAAAAC9/fEo=")</f>
        <v>#REF!</v>
      </c>
      <c r="BX39" t="e">
        <f>AND(DATASORT!#REF!,"AAAAAC9/fEs=")</f>
        <v>#REF!</v>
      </c>
      <c r="BY39" t="e">
        <f>AND(DATASORT!#REF!,"AAAAAC9/fEw=")</f>
        <v>#REF!</v>
      </c>
      <c r="BZ39" t="e">
        <f>AND(DATASORT!#REF!,"AAAAAC9/fE0=")</f>
        <v>#REF!</v>
      </c>
      <c r="CA39" t="e">
        <f>IF(DATASORT!#REF!,"AAAAAC9/fE4=",0)</f>
        <v>#REF!</v>
      </c>
      <c r="CB39" t="e">
        <f>AND(DATASORT!#REF!,"AAAAAC9/fE8=")</f>
        <v>#REF!</v>
      </c>
      <c r="CC39" t="e">
        <f>AND(DATASORT!#REF!,"AAAAAC9/fFA=")</f>
        <v>#REF!</v>
      </c>
      <c r="CD39" t="e">
        <f>AND(DATASORT!#REF!,"AAAAAC9/fFE=")</f>
        <v>#REF!</v>
      </c>
      <c r="CE39" t="e">
        <f>AND(DATASORT!#REF!,"AAAAAC9/fFI=")</f>
        <v>#REF!</v>
      </c>
      <c r="CF39" t="e">
        <f>AND(DATASORT!#REF!,"AAAAAC9/fFM=")</f>
        <v>#REF!</v>
      </c>
      <c r="CG39" t="e">
        <f>AND(DATASORT!#REF!,"AAAAAC9/fFQ=")</f>
        <v>#REF!</v>
      </c>
      <c r="CH39" t="e">
        <f>AND(DATASORT!#REF!,"AAAAAC9/fFU=")</f>
        <v>#REF!</v>
      </c>
      <c r="CI39" t="e">
        <f>AND(DATASORT!#REF!,"AAAAAC9/fFY=")</f>
        <v>#REF!</v>
      </c>
      <c r="CJ39" t="e">
        <f>AND(DATASORT!#REF!,"AAAAAC9/fFc=")</f>
        <v>#REF!</v>
      </c>
      <c r="CK39" t="e">
        <f>AND(DATASORT!#REF!,"AAAAAC9/fFg=")</f>
        <v>#REF!</v>
      </c>
      <c r="CL39" t="e">
        <f>AND(DATASORT!#REF!,"AAAAAC9/fFk=")</f>
        <v>#REF!</v>
      </c>
      <c r="CM39" t="e">
        <f>AND(DATASORT!#REF!,"AAAAAC9/fFo=")</f>
        <v>#REF!</v>
      </c>
      <c r="CN39" t="e">
        <f>AND(DATASORT!#REF!,"AAAAAC9/fFs=")</f>
        <v>#REF!</v>
      </c>
      <c r="CO39" t="e">
        <f>AND(DATASORT!#REF!,"AAAAAC9/fFw=")</f>
        <v>#REF!</v>
      </c>
      <c r="CP39" t="e">
        <f>AND(DATASORT!#REF!,"AAAAAC9/fF0=")</f>
        <v>#REF!</v>
      </c>
      <c r="CQ39" t="e">
        <f>AND(DATASORT!#REF!,"AAAAAC9/fF4=")</f>
        <v>#REF!</v>
      </c>
      <c r="CR39" t="e">
        <f>AND(DATASORT!#REF!,"AAAAAC9/fF8=")</f>
        <v>#REF!</v>
      </c>
      <c r="CS39" t="e">
        <f>AND(DATASORT!#REF!,"AAAAAC9/fGA=")</f>
        <v>#REF!</v>
      </c>
      <c r="CT39" t="e">
        <f>AND(DATASORT!#REF!,"AAAAAC9/fGE=")</f>
        <v>#REF!</v>
      </c>
      <c r="CU39" t="e">
        <f>AND(DATASORT!#REF!,"AAAAAC9/fGI=")</f>
        <v>#REF!</v>
      </c>
      <c r="CV39" t="e">
        <f>AND(DATASORT!#REF!,"AAAAAC9/fGM=")</f>
        <v>#REF!</v>
      </c>
      <c r="CW39" t="e">
        <f>AND(DATASORT!#REF!,"AAAAAC9/fGQ=")</f>
        <v>#REF!</v>
      </c>
      <c r="CX39" t="e">
        <f>AND(DATASORT!#REF!,"AAAAAC9/fGU=")</f>
        <v>#REF!</v>
      </c>
      <c r="CY39" t="e">
        <f>AND(DATASORT!#REF!,"AAAAAC9/fGY=")</f>
        <v>#REF!</v>
      </c>
      <c r="CZ39" t="e">
        <f>AND(DATASORT!#REF!,"AAAAAC9/fGc=")</f>
        <v>#REF!</v>
      </c>
      <c r="DA39" t="e">
        <f>AND(DATASORT!#REF!,"AAAAAC9/fGg=")</f>
        <v>#REF!</v>
      </c>
      <c r="DB39" t="e">
        <f>AND(DATASORT!#REF!,"AAAAAC9/fGk=")</f>
        <v>#REF!</v>
      </c>
      <c r="DC39" t="e">
        <f>IF(DATASORT!#REF!,"AAAAAC9/fGo=",0)</f>
        <v>#REF!</v>
      </c>
      <c r="DD39" t="e">
        <f>AND(DATASORT!#REF!,"AAAAAC9/fGs=")</f>
        <v>#REF!</v>
      </c>
      <c r="DE39" t="e">
        <f>AND(DATASORT!#REF!,"AAAAAC9/fGw=")</f>
        <v>#REF!</v>
      </c>
      <c r="DF39" t="e">
        <f>AND(DATASORT!#REF!,"AAAAAC9/fG0=")</f>
        <v>#REF!</v>
      </c>
      <c r="DG39" t="e">
        <f>AND(DATASORT!#REF!,"AAAAAC9/fG4=")</f>
        <v>#REF!</v>
      </c>
      <c r="DH39" t="e">
        <f>AND(DATASORT!#REF!,"AAAAAC9/fG8=")</f>
        <v>#REF!</v>
      </c>
      <c r="DI39" t="e">
        <f>AND(DATASORT!#REF!,"AAAAAC9/fHA=")</f>
        <v>#REF!</v>
      </c>
      <c r="DJ39" t="e">
        <f>AND(DATASORT!#REF!,"AAAAAC9/fHE=")</f>
        <v>#REF!</v>
      </c>
      <c r="DK39" t="e">
        <f>AND(DATASORT!#REF!,"AAAAAC9/fHI=")</f>
        <v>#REF!</v>
      </c>
      <c r="DL39" t="e">
        <f>AND(DATASORT!#REF!,"AAAAAC9/fHM=")</f>
        <v>#REF!</v>
      </c>
      <c r="DM39" t="e">
        <f>AND(DATASORT!#REF!,"AAAAAC9/fHQ=")</f>
        <v>#REF!</v>
      </c>
      <c r="DN39" t="e">
        <f>AND(DATASORT!#REF!,"AAAAAC9/fHU=")</f>
        <v>#REF!</v>
      </c>
      <c r="DO39" t="e">
        <f>AND(DATASORT!#REF!,"AAAAAC9/fHY=")</f>
        <v>#REF!</v>
      </c>
      <c r="DP39" t="e">
        <f>AND(DATASORT!#REF!,"AAAAAC9/fHc=")</f>
        <v>#REF!</v>
      </c>
      <c r="DQ39" t="e">
        <f>AND(DATASORT!#REF!,"AAAAAC9/fHg=")</f>
        <v>#REF!</v>
      </c>
      <c r="DR39" t="e">
        <f>AND(DATASORT!#REF!,"AAAAAC9/fHk=")</f>
        <v>#REF!</v>
      </c>
      <c r="DS39" t="e">
        <f>AND(DATASORT!#REF!,"AAAAAC9/fHo=")</f>
        <v>#REF!</v>
      </c>
      <c r="DT39" t="e">
        <f>AND(DATASORT!#REF!,"AAAAAC9/fHs=")</f>
        <v>#REF!</v>
      </c>
      <c r="DU39" t="e">
        <f>AND(DATASORT!#REF!,"AAAAAC9/fHw=")</f>
        <v>#REF!</v>
      </c>
      <c r="DV39" t="e">
        <f>AND(DATASORT!#REF!,"AAAAAC9/fH0=")</f>
        <v>#REF!</v>
      </c>
      <c r="DW39" t="e">
        <f>AND(DATASORT!#REF!,"AAAAAC9/fH4=")</f>
        <v>#REF!</v>
      </c>
      <c r="DX39" t="e">
        <f>AND(DATASORT!#REF!,"AAAAAC9/fH8=")</f>
        <v>#REF!</v>
      </c>
      <c r="DY39" t="e">
        <f>AND(DATASORT!#REF!,"AAAAAC9/fIA=")</f>
        <v>#REF!</v>
      </c>
      <c r="DZ39" t="e">
        <f>AND(DATASORT!#REF!,"AAAAAC9/fIE=")</f>
        <v>#REF!</v>
      </c>
      <c r="EA39" t="e">
        <f>AND(DATASORT!#REF!,"AAAAAC9/fII=")</f>
        <v>#REF!</v>
      </c>
      <c r="EB39" t="e">
        <f>AND(DATASORT!#REF!,"AAAAAC9/fIM=")</f>
        <v>#REF!</v>
      </c>
      <c r="EC39" t="e">
        <f>AND(DATASORT!#REF!,"AAAAAC9/fIQ=")</f>
        <v>#REF!</v>
      </c>
      <c r="ED39" t="e">
        <f>AND(DATASORT!#REF!,"AAAAAC9/fIU=")</f>
        <v>#REF!</v>
      </c>
      <c r="EE39" t="e">
        <f>IF(DATASORT!#REF!,"AAAAAC9/fIY=",0)</f>
        <v>#REF!</v>
      </c>
      <c r="EF39" t="e">
        <f>AND(DATASORT!#REF!,"AAAAAC9/fIc=")</f>
        <v>#REF!</v>
      </c>
      <c r="EG39" t="e">
        <f>AND(DATASORT!#REF!,"AAAAAC9/fIg=")</f>
        <v>#REF!</v>
      </c>
      <c r="EH39" t="e">
        <f>AND(DATASORT!#REF!,"AAAAAC9/fIk=")</f>
        <v>#REF!</v>
      </c>
      <c r="EI39" t="e">
        <f>AND(DATASORT!#REF!,"AAAAAC9/fIo=")</f>
        <v>#REF!</v>
      </c>
      <c r="EJ39" t="e">
        <f>AND(DATASORT!#REF!,"AAAAAC9/fIs=")</f>
        <v>#REF!</v>
      </c>
      <c r="EK39" t="e">
        <f>AND(DATASORT!#REF!,"AAAAAC9/fIw=")</f>
        <v>#REF!</v>
      </c>
      <c r="EL39" t="e">
        <f>AND(DATASORT!#REF!,"AAAAAC9/fI0=")</f>
        <v>#REF!</v>
      </c>
      <c r="EM39" t="e">
        <f>AND(DATASORT!#REF!,"AAAAAC9/fI4=")</f>
        <v>#REF!</v>
      </c>
      <c r="EN39" t="e">
        <f>AND(DATASORT!#REF!,"AAAAAC9/fI8=")</f>
        <v>#REF!</v>
      </c>
      <c r="EO39" t="e">
        <f>AND(DATASORT!#REF!,"AAAAAC9/fJA=")</f>
        <v>#REF!</v>
      </c>
      <c r="EP39" t="e">
        <f>AND(DATASORT!#REF!,"AAAAAC9/fJE=")</f>
        <v>#REF!</v>
      </c>
      <c r="EQ39" t="e">
        <f>AND(DATASORT!#REF!,"AAAAAC9/fJI=")</f>
        <v>#REF!</v>
      </c>
      <c r="ER39" t="e">
        <f>AND(DATASORT!#REF!,"AAAAAC9/fJM=")</f>
        <v>#REF!</v>
      </c>
      <c r="ES39" t="e">
        <f>AND(DATASORT!#REF!,"AAAAAC9/fJQ=")</f>
        <v>#REF!</v>
      </c>
      <c r="ET39" t="e">
        <f>AND(DATASORT!#REF!,"AAAAAC9/fJU=")</f>
        <v>#REF!</v>
      </c>
      <c r="EU39" t="e">
        <f>AND(DATASORT!#REF!,"AAAAAC9/fJY=")</f>
        <v>#REF!</v>
      </c>
      <c r="EV39" t="e">
        <f>AND(DATASORT!#REF!,"AAAAAC9/fJc=")</f>
        <v>#REF!</v>
      </c>
      <c r="EW39" t="e">
        <f>AND(DATASORT!#REF!,"AAAAAC9/fJg=")</f>
        <v>#REF!</v>
      </c>
      <c r="EX39" t="e">
        <f>AND(DATASORT!#REF!,"AAAAAC9/fJk=")</f>
        <v>#REF!</v>
      </c>
      <c r="EY39" t="e">
        <f>AND(DATASORT!#REF!,"AAAAAC9/fJo=")</f>
        <v>#REF!</v>
      </c>
      <c r="EZ39" t="e">
        <f>AND(DATASORT!#REF!,"AAAAAC9/fJs=")</f>
        <v>#REF!</v>
      </c>
      <c r="FA39" t="e">
        <f>AND(DATASORT!#REF!,"AAAAAC9/fJw=")</f>
        <v>#REF!</v>
      </c>
      <c r="FB39" t="e">
        <f>AND(DATASORT!#REF!,"AAAAAC9/fJ0=")</f>
        <v>#REF!</v>
      </c>
      <c r="FC39" t="e">
        <f>AND(DATASORT!#REF!,"AAAAAC9/fJ4=")</f>
        <v>#REF!</v>
      </c>
      <c r="FD39" t="e">
        <f>AND(DATASORT!#REF!,"AAAAAC9/fJ8=")</f>
        <v>#REF!</v>
      </c>
      <c r="FE39" t="e">
        <f>AND(DATASORT!#REF!,"AAAAAC9/fKA=")</f>
        <v>#REF!</v>
      </c>
      <c r="FF39" t="e">
        <f>AND(DATASORT!#REF!,"AAAAAC9/fKE=")</f>
        <v>#REF!</v>
      </c>
      <c r="FG39" t="e">
        <f>IF(DATASORT!#REF!,"AAAAAC9/fKI=",0)</f>
        <v>#REF!</v>
      </c>
      <c r="FH39" t="e">
        <f>AND(DATASORT!#REF!,"AAAAAC9/fKM=")</f>
        <v>#REF!</v>
      </c>
      <c r="FI39" t="e">
        <f>AND(DATASORT!#REF!,"AAAAAC9/fKQ=")</f>
        <v>#REF!</v>
      </c>
      <c r="FJ39" t="e">
        <f>AND(DATASORT!#REF!,"AAAAAC9/fKU=")</f>
        <v>#REF!</v>
      </c>
      <c r="FK39" t="e">
        <f>AND(DATASORT!#REF!,"AAAAAC9/fKY=")</f>
        <v>#REF!</v>
      </c>
      <c r="FL39" t="e">
        <f>AND(DATASORT!#REF!,"AAAAAC9/fKc=")</f>
        <v>#REF!</v>
      </c>
      <c r="FM39" t="e">
        <f>AND(DATASORT!#REF!,"AAAAAC9/fKg=")</f>
        <v>#REF!</v>
      </c>
      <c r="FN39" t="e">
        <f>AND(DATASORT!#REF!,"AAAAAC9/fKk=")</f>
        <v>#REF!</v>
      </c>
      <c r="FO39" t="e">
        <f>AND(DATASORT!#REF!,"AAAAAC9/fKo=")</f>
        <v>#REF!</v>
      </c>
      <c r="FP39" t="e">
        <f>AND(DATASORT!#REF!,"AAAAAC9/fKs=")</f>
        <v>#REF!</v>
      </c>
      <c r="FQ39" t="e">
        <f>AND(DATASORT!#REF!,"AAAAAC9/fKw=")</f>
        <v>#REF!</v>
      </c>
      <c r="FR39" t="e">
        <f>AND(DATASORT!#REF!,"AAAAAC9/fK0=")</f>
        <v>#REF!</v>
      </c>
      <c r="FS39" t="e">
        <f>AND(DATASORT!#REF!,"AAAAAC9/fK4=")</f>
        <v>#REF!</v>
      </c>
      <c r="FT39" t="e">
        <f>AND(DATASORT!#REF!,"AAAAAC9/fK8=")</f>
        <v>#REF!</v>
      </c>
      <c r="FU39" t="e">
        <f>AND(DATASORT!#REF!,"AAAAAC9/fLA=")</f>
        <v>#REF!</v>
      </c>
      <c r="FV39" t="e">
        <f>AND(DATASORT!#REF!,"AAAAAC9/fLE=")</f>
        <v>#REF!</v>
      </c>
      <c r="FW39" t="e">
        <f>AND(DATASORT!#REF!,"AAAAAC9/fLI=")</f>
        <v>#REF!</v>
      </c>
      <c r="FX39" t="e">
        <f>AND(DATASORT!#REF!,"AAAAAC9/fLM=")</f>
        <v>#REF!</v>
      </c>
      <c r="FY39" t="e">
        <f>AND(DATASORT!#REF!,"AAAAAC9/fLQ=")</f>
        <v>#REF!</v>
      </c>
      <c r="FZ39" t="e">
        <f>AND(DATASORT!#REF!,"AAAAAC9/fLU=")</f>
        <v>#REF!</v>
      </c>
      <c r="GA39" t="e">
        <f>AND(DATASORT!#REF!,"AAAAAC9/fLY=")</f>
        <v>#REF!</v>
      </c>
      <c r="GB39" t="e">
        <f>AND(DATASORT!#REF!,"AAAAAC9/fLc=")</f>
        <v>#REF!</v>
      </c>
      <c r="GC39" t="e">
        <f>AND(DATASORT!#REF!,"AAAAAC9/fLg=")</f>
        <v>#REF!</v>
      </c>
      <c r="GD39" t="e">
        <f>AND(DATASORT!#REF!,"AAAAAC9/fLk=")</f>
        <v>#REF!</v>
      </c>
      <c r="GE39" t="e">
        <f>AND(DATASORT!#REF!,"AAAAAC9/fLo=")</f>
        <v>#REF!</v>
      </c>
      <c r="GF39" t="e">
        <f>AND(DATASORT!#REF!,"AAAAAC9/fLs=")</f>
        <v>#REF!</v>
      </c>
      <c r="GG39" t="e">
        <f>AND(DATASORT!#REF!,"AAAAAC9/fLw=")</f>
        <v>#REF!</v>
      </c>
      <c r="GH39" t="e">
        <f>AND(DATASORT!#REF!,"AAAAAC9/fL0=")</f>
        <v>#REF!</v>
      </c>
      <c r="GI39" t="e">
        <f>IF(DATASORT!#REF!,"AAAAAC9/fL4=",0)</f>
        <v>#REF!</v>
      </c>
      <c r="GJ39" t="e">
        <f>AND(DATASORT!#REF!,"AAAAAC9/fL8=")</f>
        <v>#REF!</v>
      </c>
      <c r="GK39" t="e">
        <f>AND(DATASORT!#REF!,"AAAAAC9/fMA=")</f>
        <v>#REF!</v>
      </c>
      <c r="GL39" t="e">
        <f>AND(DATASORT!#REF!,"AAAAAC9/fME=")</f>
        <v>#REF!</v>
      </c>
      <c r="GM39" t="e">
        <f>AND(DATASORT!#REF!,"AAAAAC9/fMI=")</f>
        <v>#REF!</v>
      </c>
      <c r="GN39" t="e">
        <f>AND(DATASORT!#REF!,"AAAAAC9/fMM=")</f>
        <v>#REF!</v>
      </c>
      <c r="GO39" t="e">
        <f>AND(DATASORT!#REF!,"AAAAAC9/fMQ=")</f>
        <v>#REF!</v>
      </c>
      <c r="GP39" t="e">
        <f>AND(DATASORT!#REF!,"AAAAAC9/fMU=")</f>
        <v>#REF!</v>
      </c>
      <c r="GQ39" t="e">
        <f>AND(DATASORT!#REF!,"AAAAAC9/fMY=")</f>
        <v>#REF!</v>
      </c>
      <c r="GR39" t="e">
        <f>AND(DATASORT!#REF!,"AAAAAC9/fMc=")</f>
        <v>#REF!</v>
      </c>
      <c r="GS39" t="e">
        <f>AND(DATASORT!#REF!,"AAAAAC9/fMg=")</f>
        <v>#REF!</v>
      </c>
      <c r="GT39" t="e">
        <f>AND(DATASORT!#REF!,"AAAAAC9/fMk=")</f>
        <v>#REF!</v>
      </c>
      <c r="GU39" t="e">
        <f>AND(DATASORT!#REF!,"AAAAAC9/fMo=")</f>
        <v>#REF!</v>
      </c>
      <c r="GV39" t="e">
        <f>AND(DATASORT!#REF!,"AAAAAC9/fMs=")</f>
        <v>#REF!</v>
      </c>
      <c r="GW39" t="e">
        <f>AND(DATASORT!#REF!,"AAAAAC9/fMw=")</f>
        <v>#REF!</v>
      </c>
      <c r="GX39" t="e">
        <f>AND(DATASORT!#REF!,"AAAAAC9/fM0=")</f>
        <v>#REF!</v>
      </c>
      <c r="GY39" t="e">
        <f>AND(DATASORT!#REF!,"AAAAAC9/fM4=")</f>
        <v>#REF!</v>
      </c>
      <c r="GZ39" t="e">
        <f>AND(DATASORT!#REF!,"AAAAAC9/fM8=")</f>
        <v>#REF!</v>
      </c>
      <c r="HA39" t="e">
        <f>AND(DATASORT!#REF!,"AAAAAC9/fNA=")</f>
        <v>#REF!</v>
      </c>
      <c r="HB39" t="e">
        <f>AND(DATASORT!#REF!,"AAAAAC9/fNE=")</f>
        <v>#REF!</v>
      </c>
      <c r="HC39" t="e">
        <f>AND(DATASORT!#REF!,"AAAAAC9/fNI=")</f>
        <v>#REF!</v>
      </c>
      <c r="HD39" t="e">
        <f>AND(DATASORT!#REF!,"AAAAAC9/fNM=")</f>
        <v>#REF!</v>
      </c>
      <c r="HE39" t="e">
        <f>AND(DATASORT!#REF!,"AAAAAC9/fNQ=")</f>
        <v>#REF!</v>
      </c>
      <c r="HF39" t="e">
        <f>AND(DATASORT!#REF!,"AAAAAC9/fNU=")</f>
        <v>#REF!</v>
      </c>
      <c r="HG39" t="e">
        <f>AND(DATASORT!#REF!,"AAAAAC9/fNY=")</f>
        <v>#REF!</v>
      </c>
      <c r="HH39" t="e">
        <f>AND(DATASORT!#REF!,"AAAAAC9/fNc=")</f>
        <v>#REF!</v>
      </c>
      <c r="HI39" t="e">
        <f>AND(DATASORT!#REF!,"AAAAAC9/fNg=")</f>
        <v>#REF!</v>
      </c>
      <c r="HJ39" t="e">
        <f>AND(DATASORT!#REF!,"AAAAAC9/fNk=")</f>
        <v>#REF!</v>
      </c>
      <c r="HK39" t="e">
        <f>IF(DATASORT!#REF!,"AAAAAC9/fNo=",0)</f>
        <v>#REF!</v>
      </c>
      <c r="HL39" t="e">
        <f>AND(DATASORT!#REF!,"AAAAAC9/fNs=")</f>
        <v>#REF!</v>
      </c>
      <c r="HM39" t="e">
        <f>AND(DATASORT!#REF!,"AAAAAC9/fNw=")</f>
        <v>#REF!</v>
      </c>
      <c r="HN39" t="e">
        <f>AND(DATASORT!#REF!,"AAAAAC9/fN0=")</f>
        <v>#REF!</v>
      </c>
      <c r="HO39" t="e">
        <f>AND(DATASORT!#REF!,"AAAAAC9/fN4=")</f>
        <v>#REF!</v>
      </c>
      <c r="HP39" t="e">
        <f>AND(DATASORT!#REF!,"AAAAAC9/fN8=")</f>
        <v>#REF!</v>
      </c>
      <c r="HQ39" t="e">
        <f>AND(DATASORT!#REF!,"AAAAAC9/fOA=")</f>
        <v>#REF!</v>
      </c>
      <c r="HR39" t="e">
        <f>AND(DATASORT!#REF!,"AAAAAC9/fOE=")</f>
        <v>#REF!</v>
      </c>
      <c r="HS39" t="e">
        <f>AND(DATASORT!#REF!,"AAAAAC9/fOI=")</f>
        <v>#REF!</v>
      </c>
      <c r="HT39" t="e">
        <f>AND(DATASORT!#REF!,"AAAAAC9/fOM=")</f>
        <v>#REF!</v>
      </c>
      <c r="HU39" t="e">
        <f>AND(DATASORT!#REF!,"AAAAAC9/fOQ=")</f>
        <v>#REF!</v>
      </c>
      <c r="HV39" t="e">
        <f>AND(DATASORT!#REF!,"AAAAAC9/fOU=")</f>
        <v>#REF!</v>
      </c>
      <c r="HW39" t="e">
        <f>AND(DATASORT!#REF!,"AAAAAC9/fOY=")</f>
        <v>#REF!</v>
      </c>
      <c r="HX39" t="e">
        <f>AND(DATASORT!#REF!,"AAAAAC9/fOc=")</f>
        <v>#REF!</v>
      </c>
      <c r="HY39" t="e">
        <f>AND(DATASORT!#REF!,"AAAAAC9/fOg=")</f>
        <v>#REF!</v>
      </c>
      <c r="HZ39" t="e">
        <f>AND(DATASORT!#REF!,"AAAAAC9/fOk=")</f>
        <v>#REF!</v>
      </c>
      <c r="IA39" t="e">
        <f>AND(DATASORT!#REF!,"AAAAAC9/fOo=")</f>
        <v>#REF!</v>
      </c>
      <c r="IB39" t="e">
        <f>AND(DATASORT!#REF!,"AAAAAC9/fOs=")</f>
        <v>#REF!</v>
      </c>
      <c r="IC39" t="e">
        <f>AND(DATASORT!#REF!,"AAAAAC9/fOw=")</f>
        <v>#REF!</v>
      </c>
      <c r="ID39" t="e">
        <f>AND(DATASORT!#REF!,"AAAAAC9/fO0=")</f>
        <v>#REF!</v>
      </c>
      <c r="IE39" t="e">
        <f>AND(DATASORT!#REF!,"AAAAAC9/fO4=")</f>
        <v>#REF!</v>
      </c>
      <c r="IF39" t="e">
        <f>AND(DATASORT!#REF!,"AAAAAC9/fO8=")</f>
        <v>#REF!</v>
      </c>
      <c r="IG39" t="e">
        <f>AND(DATASORT!#REF!,"AAAAAC9/fPA=")</f>
        <v>#REF!</v>
      </c>
      <c r="IH39" t="e">
        <f>AND(DATASORT!#REF!,"AAAAAC9/fPE=")</f>
        <v>#REF!</v>
      </c>
      <c r="II39" t="e">
        <f>AND(DATASORT!#REF!,"AAAAAC9/fPI=")</f>
        <v>#REF!</v>
      </c>
      <c r="IJ39" t="e">
        <f>AND(DATASORT!#REF!,"AAAAAC9/fPM=")</f>
        <v>#REF!</v>
      </c>
      <c r="IK39" t="e">
        <f>AND(DATASORT!#REF!,"AAAAAC9/fPQ=")</f>
        <v>#REF!</v>
      </c>
      <c r="IL39" t="e">
        <f>AND(DATASORT!#REF!,"AAAAAC9/fPU=")</f>
        <v>#REF!</v>
      </c>
      <c r="IM39" t="e">
        <f>IF(DATASORT!#REF!,"AAAAAC9/fPY=",0)</f>
        <v>#REF!</v>
      </c>
      <c r="IN39" t="e">
        <f>AND(DATASORT!#REF!,"AAAAAC9/fPc=")</f>
        <v>#REF!</v>
      </c>
      <c r="IO39" t="e">
        <f>AND(DATASORT!#REF!,"AAAAAC9/fPg=")</f>
        <v>#REF!</v>
      </c>
      <c r="IP39" t="e">
        <f>AND(DATASORT!#REF!,"AAAAAC9/fPk=")</f>
        <v>#REF!</v>
      </c>
      <c r="IQ39" t="e">
        <f>AND(DATASORT!#REF!,"AAAAAC9/fPo=")</f>
        <v>#REF!</v>
      </c>
      <c r="IR39" t="e">
        <f>AND(DATASORT!#REF!,"AAAAAC9/fPs=")</f>
        <v>#REF!</v>
      </c>
      <c r="IS39" t="e">
        <f>AND(DATASORT!#REF!,"AAAAAC9/fPw=")</f>
        <v>#REF!</v>
      </c>
      <c r="IT39" t="e">
        <f>AND(DATASORT!#REF!,"AAAAAC9/fP0=")</f>
        <v>#REF!</v>
      </c>
      <c r="IU39" t="e">
        <f>AND(DATASORT!#REF!,"AAAAAC9/fP4=")</f>
        <v>#REF!</v>
      </c>
      <c r="IV39" t="e">
        <f>AND(DATASORT!#REF!,"AAAAAC9/fP8=")</f>
        <v>#REF!</v>
      </c>
    </row>
    <row r="40" spans="1:256" ht="14.4">
      <c r="A40" t="e">
        <f>AND(DATASORT!#REF!,"AAAAAF82bwA=")</f>
        <v>#REF!</v>
      </c>
      <c r="B40" t="e">
        <f>AND(DATASORT!#REF!,"AAAAAF82bwE=")</f>
        <v>#REF!</v>
      </c>
      <c r="C40" t="e">
        <f>AND(DATASORT!#REF!,"AAAAAF82bwI=")</f>
        <v>#REF!</v>
      </c>
      <c r="D40" t="e">
        <f>AND(DATASORT!#REF!,"AAAAAF82bwM=")</f>
        <v>#REF!</v>
      </c>
      <c r="E40" t="e">
        <f>AND(DATASORT!#REF!,"AAAAAF82bwQ=")</f>
        <v>#REF!</v>
      </c>
      <c r="F40" t="e">
        <f>AND(DATASORT!#REF!,"AAAAAF82bwU=")</f>
        <v>#REF!</v>
      </c>
      <c r="G40" t="e">
        <f>AND(DATASORT!#REF!,"AAAAAF82bwY=")</f>
        <v>#REF!</v>
      </c>
      <c r="H40" t="e">
        <f>AND(DATASORT!#REF!,"AAAAAF82bwc=")</f>
        <v>#REF!</v>
      </c>
      <c r="I40" t="e">
        <f>AND(DATASORT!#REF!,"AAAAAF82bwg=")</f>
        <v>#REF!</v>
      </c>
      <c r="J40" t="e">
        <f>AND(DATASORT!#REF!,"AAAAAF82bwk=")</f>
        <v>#REF!</v>
      </c>
      <c r="K40" t="e">
        <f>AND(DATASORT!#REF!,"AAAAAF82bwo=")</f>
        <v>#REF!</v>
      </c>
      <c r="L40" t="e">
        <f>AND(DATASORT!#REF!,"AAAAAF82bws=")</f>
        <v>#REF!</v>
      </c>
      <c r="M40" t="e">
        <f>AND(DATASORT!#REF!,"AAAAAF82bww=")</f>
        <v>#REF!</v>
      </c>
      <c r="N40" t="e">
        <f>AND(DATASORT!#REF!,"AAAAAF82bw0=")</f>
        <v>#REF!</v>
      </c>
      <c r="O40" t="e">
        <f>AND(DATASORT!#REF!,"AAAAAF82bw4=")</f>
        <v>#REF!</v>
      </c>
      <c r="P40" t="e">
        <f>AND(DATASORT!#REF!,"AAAAAF82bw8=")</f>
        <v>#REF!</v>
      </c>
      <c r="Q40" t="e">
        <f>AND(DATASORT!#REF!,"AAAAAF82bxA=")</f>
        <v>#REF!</v>
      </c>
      <c r="R40" t="e">
        <f>AND(DATASORT!#REF!,"AAAAAF82bxE=")</f>
        <v>#REF!</v>
      </c>
      <c r="S40" t="e">
        <f>IF(DATASORT!#REF!,"AAAAAF82bxI=",0)</f>
        <v>#REF!</v>
      </c>
      <c r="T40" t="e">
        <f>AND(DATASORT!#REF!,"AAAAAF82bxM=")</f>
        <v>#REF!</v>
      </c>
      <c r="U40" t="e">
        <f>AND(DATASORT!#REF!,"AAAAAF82bxQ=")</f>
        <v>#REF!</v>
      </c>
      <c r="V40" t="e">
        <f>AND(DATASORT!#REF!,"AAAAAF82bxU=")</f>
        <v>#REF!</v>
      </c>
      <c r="W40" t="e">
        <f>AND(DATASORT!#REF!,"AAAAAF82bxY=")</f>
        <v>#REF!</v>
      </c>
      <c r="X40" t="e">
        <f>AND(DATASORT!#REF!,"AAAAAF82bxc=")</f>
        <v>#REF!</v>
      </c>
      <c r="Y40" t="e">
        <f>AND(DATASORT!#REF!,"AAAAAF82bxg=")</f>
        <v>#REF!</v>
      </c>
      <c r="Z40" t="e">
        <f>AND(DATASORT!#REF!,"AAAAAF82bxk=")</f>
        <v>#REF!</v>
      </c>
      <c r="AA40" t="e">
        <f>AND(DATASORT!#REF!,"AAAAAF82bxo=")</f>
        <v>#REF!</v>
      </c>
      <c r="AB40" t="e">
        <f>AND(DATASORT!#REF!,"AAAAAF82bxs=")</f>
        <v>#REF!</v>
      </c>
      <c r="AC40" t="e">
        <f>AND(DATASORT!#REF!,"AAAAAF82bxw=")</f>
        <v>#REF!</v>
      </c>
      <c r="AD40" t="e">
        <f>AND(DATASORT!#REF!,"AAAAAF82bx0=")</f>
        <v>#REF!</v>
      </c>
      <c r="AE40" t="e">
        <f>AND(DATASORT!#REF!,"AAAAAF82bx4=")</f>
        <v>#REF!</v>
      </c>
      <c r="AF40" t="e">
        <f>AND(DATASORT!#REF!,"AAAAAF82bx8=")</f>
        <v>#REF!</v>
      </c>
      <c r="AG40" t="e">
        <f>AND(DATASORT!#REF!,"AAAAAF82byA=")</f>
        <v>#REF!</v>
      </c>
      <c r="AH40" t="e">
        <f>AND(DATASORT!#REF!,"AAAAAF82byE=")</f>
        <v>#REF!</v>
      </c>
      <c r="AI40" t="e">
        <f>AND(DATASORT!#REF!,"AAAAAF82byI=")</f>
        <v>#REF!</v>
      </c>
      <c r="AJ40" t="e">
        <f>AND(DATASORT!#REF!,"AAAAAF82byM=")</f>
        <v>#REF!</v>
      </c>
      <c r="AK40" t="e">
        <f>AND(DATASORT!#REF!,"AAAAAF82byQ=")</f>
        <v>#REF!</v>
      </c>
      <c r="AL40" t="e">
        <f>AND(DATASORT!#REF!,"AAAAAF82byU=")</f>
        <v>#REF!</v>
      </c>
      <c r="AM40" t="e">
        <f>AND(DATASORT!#REF!,"AAAAAF82byY=")</f>
        <v>#REF!</v>
      </c>
      <c r="AN40" t="e">
        <f>AND(DATASORT!#REF!,"AAAAAF82byc=")</f>
        <v>#REF!</v>
      </c>
      <c r="AO40" t="e">
        <f>AND(DATASORT!#REF!,"AAAAAF82byg=")</f>
        <v>#REF!</v>
      </c>
      <c r="AP40" t="e">
        <f>AND(DATASORT!#REF!,"AAAAAF82byk=")</f>
        <v>#REF!</v>
      </c>
      <c r="AQ40" t="e">
        <f>AND(DATASORT!#REF!,"AAAAAF82byo=")</f>
        <v>#REF!</v>
      </c>
      <c r="AR40" t="e">
        <f>AND(DATASORT!#REF!,"AAAAAF82bys=")</f>
        <v>#REF!</v>
      </c>
      <c r="AS40" t="e">
        <f>AND(DATASORT!#REF!,"AAAAAF82byw=")</f>
        <v>#REF!</v>
      </c>
      <c r="AT40" t="e">
        <f>AND(DATASORT!#REF!,"AAAAAF82by0=")</f>
        <v>#REF!</v>
      </c>
      <c r="AU40" t="e">
        <f>IF(DATASORT!#REF!,"AAAAAF82by4=",0)</f>
        <v>#REF!</v>
      </c>
      <c r="AV40" t="e">
        <f>IF(DATASORT!#REF!,"AAAAAF82by8=",0)</f>
        <v>#REF!</v>
      </c>
      <c r="AW40" t="e">
        <f>IF(DATASORT!#REF!,"AAAAAF82bzA=",0)</f>
        <v>#REF!</v>
      </c>
      <c r="AX40" t="e">
        <f>IF(DATASORT!#REF!,"AAAAAF82bzE=",0)</f>
        <v>#REF!</v>
      </c>
      <c r="AY40" t="e">
        <f>IF(DATASORT!#REF!,"AAAAAF82bzI=",0)</f>
        <v>#REF!</v>
      </c>
      <c r="AZ40" t="e">
        <f>IF(DATASORT!#REF!,"AAAAAF82bzM=",0)</f>
        <v>#REF!</v>
      </c>
      <c r="BA40" t="e">
        <f>IF(DATASORT!#REF!,"AAAAAF82bzQ=",0)</f>
        <v>#REF!</v>
      </c>
      <c r="BB40" t="e">
        <f>IF(DATASORT!#REF!,"AAAAAF82bzU=",0)</f>
        <v>#REF!</v>
      </c>
      <c r="BC40" t="e">
        <f>IF(DATASORT!#REF!,"AAAAAF82bzY=",0)</f>
        <v>#REF!</v>
      </c>
      <c r="BD40" t="e">
        <f>IF(DATASORT!#REF!,"AAAAAF82bzc=",0)</f>
        <v>#REF!</v>
      </c>
      <c r="BE40" t="e">
        <f>IF(DATASORT!#REF!,"AAAAAF82bzg=",0)</f>
        <v>#REF!</v>
      </c>
      <c r="BF40" t="e">
        <f>IF(DATASORT!#REF!,"AAAAAF82bzk=",0)</f>
        <v>#REF!</v>
      </c>
      <c r="BG40" t="e">
        <f>IF(DATASORT!#REF!,"AAAAAF82bzo=",0)</f>
        <v>#REF!</v>
      </c>
      <c r="BH40" t="e">
        <f>IF(DATASORT!#REF!,"AAAAAF82bzs=",0)</f>
        <v>#REF!</v>
      </c>
      <c r="BI40" t="e">
        <f>IF(DATASORT!#REF!,"AAAAAF82bzw=",0)</f>
        <v>#REF!</v>
      </c>
      <c r="BJ40" t="e">
        <f>IF(DATASORT!#REF!,"AAAAAF82bz0=",0)</f>
        <v>#REF!</v>
      </c>
      <c r="BK40" t="e">
        <f>IF(DATASORT!#REF!,"AAAAAF82bz4=",0)</f>
        <v>#REF!</v>
      </c>
      <c r="BL40" t="e">
        <f>IF(DATASORT!#REF!,"AAAAAF82bz8=",0)</f>
        <v>#REF!</v>
      </c>
      <c r="BM40" t="e">
        <f>IF(DATASORT!#REF!,"AAAAAF82b0A=",0)</f>
        <v>#REF!</v>
      </c>
      <c r="BN40" t="e">
        <f>IF(DATASORT!#REF!,"AAAAAF82b0E=",0)</f>
        <v>#REF!</v>
      </c>
      <c r="BO40" t="e">
        <f>IF(DATASORT!#REF!,"AAAAAF82b0I=",0)</f>
        <v>#REF!</v>
      </c>
      <c r="BP40" t="e">
        <f>IF(DATASORT!#REF!,"AAAAAF82b0M=",0)</f>
        <v>#REF!</v>
      </c>
      <c r="BQ40" t="e">
        <f>IF(DATASORT!#REF!,"AAAAAF82b0Q=",0)</f>
        <v>#REF!</v>
      </c>
      <c r="BR40" t="e">
        <f>IF(DATASORT!#REF!,"AAAAAF82b0U=",0)</f>
        <v>#REF!</v>
      </c>
      <c r="BS40" t="e">
        <f>IF(DATASORT!#REF!,"AAAAAF82b0Y=",0)</f>
        <v>#REF!</v>
      </c>
      <c r="BT40" t="e">
        <f>IF(DATASORT!#REF!,"AAAAAF82b0c=",0)</f>
        <v>#REF!</v>
      </c>
      <c r="BU40" t="e">
        <f>IF(DATASORT!#REF!,"AAAAAF82b0g=",0)</f>
        <v>#REF!</v>
      </c>
      <c r="BV40" t="e">
        <f>IF(DATASORT!#REF!,"AAAAAF82b0k=",0)</f>
        <v>#REF!</v>
      </c>
      <c r="BW40" t="e">
        <f>IF(DATASORT!#REF!,"AAAAAF82b0o=",0)</f>
        <v>#REF!</v>
      </c>
      <c r="BX40" t="e">
        <f>IF(DATASORT!#REF!,"AAAAAF82b0s=",0)</f>
        <v>#REF!</v>
      </c>
      <c r="BY40" t="e">
        <f>IF(DATASORT!#REF!,"AAAAAF82b0w=",0)</f>
        <v>#REF!</v>
      </c>
      <c r="BZ40" t="e">
        <f>IF(DATASORT!#REF!,"AAAAAF82b00=",0)</f>
        <v>#REF!</v>
      </c>
      <c r="CA40" t="e">
        <f>IF(DATASORT!#REF!,"AAAAAF82b04=",0)</f>
        <v>#REF!</v>
      </c>
      <c r="CB40" t="e">
        <f>IF(DATASORT!#REF!,"AAAAAF82b08=",0)</f>
        <v>#REF!</v>
      </c>
      <c r="CC40" t="e">
        <f>IF(DATASORT!#REF!,"AAAAAF82b1A=",0)</f>
        <v>#REF!</v>
      </c>
      <c r="CD40" t="e">
        <f>IF(DATASORT!#REF!,"AAAAAF82b1E=",0)</f>
        <v>#REF!</v>
      </c>
      <c r="CE40" t="e">
        <f>IF(DATASORT!#REF!,"AAAAAF82b1I=",0)</f>
        <v>#REF!</v>
      </c>
      <c r="CF40" t="e">
        <f>IF(DATASORT!#REF!,"AAAAAF82b1M=",0)</f>
        <v>#REF!</v>
      </c>
      <c r="CG40" t="e">
        <f>IF(DATASORT!#REF!,"AAAAAF82b1Q=",0)</f>
        <v>#REF!</v>
      </c>
      <c r="CH40" t="e">
        <f>IF(DATASORT!#REF!,"AAAAAF82b1U=",0)</f>
        <v>#REF!</v>
      </c>
      <c r="CI40" t="e">
        <f>IF(DATASORT!#REF!,"AAAAAF82b1Y=",0)</f>
        <v>#REF!</v>
      </c>
      <c r="CJ40" t="e">
        <f>IF(DATASORT!#REF!,"AAAAAF82b1c=",0)</f>
        <v>#REF!</v>
      </c>
      <c r="CK40" t="e">
        <f>IF(DATASORT!#REF!,"AAAAAF82b1g=",0)</f>
        <v>#REF!</v>
      </c>
      <c r="CL40" s="211" t="s">
        <v>295</v>
      </c>
      <c r="CM40" t="s">
        <v>296</v>
      </c>
      <c r="CN40" t="e">
        <f>IF("N",Data!_xlnm.Print_Area,"AAAAAF82b1s=")</f>
        <v>#VALUE!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1:G16"/>
  <sheetViews>
    <sheetView workbookViewId="0">
      <selection activeCell="B2" sqref="B2:D11"/>
    </sheetView>
  </sheetViews>
  <sheetFormatPr defaultColWidth="9.109375" defaultRowHeight="10.199999999999999"/>
  <cols>
    <col min="1" max="1" width="53.6640625" style="69" customWidth="1"/>
    <col min="2" max="2" width="7.6640625" style="69" customWidth="1"/>
    <col min="3" max="3" width="4.6640625" style="69" customWidth="1"/>
    <col min="4" max="4" width="5.6640625" style="69" bestFit="1" customWidth="1"/>
    <col min="5" max="5" width="9" style="131" hidden="1" customWidth="1"/>
    <col min="6" max="6" width="0" style="131" hidden="1" customWidth="1"/>
    <col min="7" max="7" width="64.109375" style="70" customWidth="1"/>
    <col min="8" max="16384" width="9.109375" style="70"/>
  </cols>
  <sheetData>
    <row r="1" spans="1:7" s="86" customFormat="1" ht="72.75" customHeight="1" thickTop="1" thickBot="1">
      <c r="A1" s="71" t="s">
        <v>146</v>
      </c>
      <c r="B1" s="83" t="s">
        <v>235</v>
      </c>
      <c r="C1" s="84" t="s">
        <v>142</v>
      </c>
      <c r="D1" s="85" t="s">
        <v>147</v>
      </c>
      <c r="E1" s="134"/>
      <c r="F1" s="134"/>
      <c r="G1" s="190" t="s">
        <v>282</v>
      </c>
    </row>
    <row r="2" spans="1:7" s="75" customFormat="1" ht="24.9" customHeight="1">
      <c r="A2" s="87" t="s">
        <v>160</v>
      </c>
      <c r="B2" s="37"/>
      <c r="C2" s="38"/>
      <c r="D2" s="62"/>
      <c r="E2" s="132">
        <f>(D2*5)/100</f>
        <v>0</v>
      </c>
      <c r="F2" s="132">
        <f>B2*(D2/100)</f>
        <v>0</v>
      </c>
      <c r="G2" s="186"/>
    </row>
    <row r="3" spans="1:7" s="75" customFormat="1" ht="24.9" customHeight="1">
      <c r="A3" s="88" t="s">
        <v>131</v>
      </c>
      <c r="B3" s="37"/>
      <c r="C3" s="35"/>
      <c r="D3" s="167"/>
      <c r="E3" s="132">
        <f t="shared" ref="E3:E11" si="0">(D3*5)/100</f>
        <v>0</v>
      </c>
      <c r="F3" s="132">
        <f t="shared" ref="F3:F9" si="1">B3*(D3/100)</f>
        <v>0</v>
      </c>
      <c r="G3" s="186"/>
    </row>
    <row r="4" spans="1:7" s="75" customFormat="1" ht="24.9" customHeight="1">
      <c r="A4" s="88" t="s">
        <v>134</v>
      </c>
      <c r="B4" s="37"/>
      <c r="C4" s="35"/>
      <c r="D4" s="167"/>
      <c r="E4" s="132">
        <f t="shared" si="0"/>
        <v>0</v>
      </c>
      <c r="F4" s="132">
        <f t="shared" si="1"/>
        <v>0</v>
      </c>
      <c r="G4" s="186"/>
    </row>
    <row r="5" spans="1:7" s="75" customFormat="1" ht="24.9" customHeight="1">
      <c r="A5" s="88" t="s">
        <v>132</v>
      </c>
      <c r="B5" s="37"/>
      <c r="C5" s="35"/>
      <c r="D5" s="167"/>
      <c r="E5" s="132">
        <f t="shared" si="0"/>
        <v>0</v>
      </c>
      <c r="F5" s="132">
        <f t="shared" si="1"/>
        <v>0</v>
      </c>
      <c r="G5" s="186"/>
    </row>
    <row r="6" spans="1:7" s="75" customFormat="1" ht="24.9" customHeight="1">
      <c r="A6" s="88" t="s">
        <v>135</v>
      </c>
      <c r="B6" s="37"/>
      <c r="C6" s="35"/>
      <c r="D6" s="167"/>
      <c r="E6" s="132">
        <f t="shared" si="0"/>
        <v>0</v>
      </c>
      <c r="F6" s="132">
        <f t="shared" si="1"/>
        <v>0</v>
      </c>
      <c r="G6" s="186"/>
    </row>
    <row r="7" spans="1:7" s="75" customFormat="1" ht="24.9" customHeight="1">
      <c r="A7" s="88" t="s">
        <v>133</v>
      </c>
      <c r="B7" s="37"/>
      <c r="C7" s="35"/>
      <c r="D7" s="167"/>
      <c r="E7" s="132">
        <f t="shared" si="0"/>
        <v>0</v>
      </c>
      <c r="F7" s="132">
        <f t="shared" si="1"/>
        <v>0</v>
      </c>
      <c r="G7" s="186"/>
    </row>
    <row r="8" spans="1:7" s="75" customFormat="1" ht="24.9" customHeight="1" thickBot="1">
      <c r="A8" s="88" t="s">
        <v>136</v>
      </c>
      <c r="B8" s="37"/>
      <c r="C8" s="35"/>
      <c r="D8" s="198"/>
      <c r="E8" s="132">
        <f t="shared" si="0"/>
        <v>0</v>
      </c>
      <c r="F8" s="132">
        <f t="shared" si="1"/>
        <v>0</v>
      </c>
      <c r="G8" s="186"/>
    </row>
    <row r="9" spans="1:7" s="75" customFormat="1" ht="24.9" customHeight="1" thickTop="1" thickBot="1">
      <c r="A9" s="88" t="s">
        <v>262</v>
      </c>
      <c r="B9" s="37"/>
      <c r="C9" s="35"/>
      <c r="D9" s="198"/>
      <c r="E9" s="132">
        <f t="shared" si="0"/>
        <v>0</v>
      </c>
      <c r="F9" s="132">
        <f t="shared" si="1"/>
        <v>0</v>
      </c>
      <c r="G9" s="186"/>
    </row>
    <row r="10" spans="1:7" s="75" customFormat="1" ht="24.9" customHeight="1" thickTop="1" thickBot="1">
      <c r="A10" s="88" t="s">
        <v>137</v>
      </c>
      <c r="B10" s="37"/>
      <c r="C10" s="35"/>
      <c r="D10" s="198"/>
      <c r="E10" s="132">
        <f t="shared" si="0"/>
        <v>0</v>
      </c>
      <c r="F10" s="132">
        <f>B10*(D10/100)</f>
        <v>0</v>
      </c>
      <c r="G10" s="186"/>
    </row>
    <row r="11" spans="1:7" s="75" customFormat="1" ht="37.200000000000003" customHeight="1" thickTop="1" thickBot="1">
      <c r="A11" s="89" t="s">
        <v>263</v>
      </c>
      <c r="B11" s="37"/>
      <c r="C11" s="197"/>
      <c r="D11" s="198"/>
      <c r="E11" s="132">
        <f t="shared" si="0"/>
        <v>0</v>
      </c>
      <c r="F11" s="132">
        <f>B11*(D11/100)</f>
        <v>0</v>
      </c>
      <c r="G11" s="186"/>
    </row>
    <row r="12" spans="1:7" ht="15" customHeight="1" thickTop="1">
      <c r="A12" s="90"/>
      <c r="B12" s="91"/>
      <c r="C12" s="91"/>
      <c r="D12" s="168"/>
      <c r="E12" s="131">
        <f>SUM(E2:E11)</f>
        <v>0</v>
      </c>
      <c r="F12" s="131">
        <f>SUM(F2:F11)</f>
        <v>0</v>
      </c>
    </row>
    <row r="13" spans="1:7" ht="15" customHeight="1" thickBot="1">
      <c r="A13" s="93" t="s">
        <v>148</v>
      </c>
      <c r="B13" s="94"/>
      <c r="C13" s="94"/>
      <c r="D13" s="169" t="e">
        <f>(F12/E12)*100</f>
        <v>#DIV/0!</v>
      </c>
    </row>
    <row r="14" spans="1:7" ht="12.6" customHeight="1" thickTop="1"/>
    <row r="15" spans="1:7" ht="101.25" customHeight="1">
      <c r="A15" s="80" t="s">
        <v>255</v>
      </c>
    </row>
    <row r="16" spans="1:7" ht="88.5" customHeight="1">
      <c r="A16" s="82" t="s">
        <v>256</v>
      </c>
      <c r="B16" s="217" t="s">
        <v>253</v>
      </c>
      <c r="C16" s="218"/>
      <c r="D16" s="218"/>
    </row>
  </sheetData>
  <sheetProtection password="D047" sheet="1" formatCells="0"/>
  <mergeCells count="1">
    <mergeCell ref="B16:D16"/>
  </mergeCells>
  <phoneticPr fontId="0" type="noConversion"/>
  <pageMargins left="0.75" right="0.75" top="1" bottom="1" header="0.5" footer="0.5"/>
  <pageSetup orientation="portrait" verticalDpi="0" r:id="rId1"/>
  <headerFooter alignWithMargins="0"/>
  <customProperties>
    <customPr name="DVSECTIONID" r:id="rId2"/>
  </customProperties>
</worksheet>
</file>

<file path=xl/worksheets/sheet3.xml><?xml version="1.0" encoding="utf-8"?>
<worksheet xmlns="http://schemas.openxmlformats.org/spreadsheetml/2006/main" xmlns:r="http://schemas.openxmlformats.org/officeDocument/2006/relationships">
  <sheetPr codeName="Sheet3"/>
  <dimension ref="A1:G18"/>
  <sheetViews>
    <sheetView workbookViewId="0">
      <selection activeCell="B2" sqref="B2:D11"/>
    </sheetView>
  </sheetViews>
  <sheetFormatPr defaultColWidth="9.109375" defaultRowHeight="10.199999999999999"/>
  <cols>
    <col min="1" max="1" width="53.6640625" style="69" customWidth="1"/>
    <col min="2" max="2" width="7.5546875" style="69" customWidth="1"/>
    <col min="3" max="4" width="9.109375" style="69"/>
    <col min="5" max="5" width="7" style="131" hidden="1" customWidth="1"/>
    <col min="6" max="6" width="0" style="131" hidden="1" customWidth="1"/>
    <col min="7" max="7" width="46.109375" style="70" customWidth="1"/>
    <col min="8" max="16384" width="9.109375" style="70"/>
  </cols>
  <sheetData>
    <row r="1" spans="1:7" ht="71.400000000000006" customHeight="1" thickTop="1">
      <c r="A1" s="95" t="s">
        <v>162</v>
      </c>
      <c r="B1" s="96" t="s">
        <v>235</v>
      </c>
      <c r="C1" s="97" t="s">
        <v>142</v>
      </c>
      <c r="D1" s="98" t="s">
        <v>149</v>
      </c>
      <c r="E1" s="134"/>
      <c r="G1" s="185" t="s">
        <v>282</v>
      </c>
    </row>
    <row r="2" spans="1:7" ht="24.9" customHeight="1" thickBot="1">
      <c r="A2" s="76" t="s">
        <v>264</v>
      </c>
      <c r="B2" s="39"/>
      <c r="C2" s="40"/>
      <c r="D2" s="200"/>
      <c r="E2" s="132">
        <f>(D2*5)/100</f>
        <v>0</v>
      </c>
      <c r="F2" s="132">
        <f>B2*(D2/100)</f>
        <v>0</v>
      </c>
      <c r="G2" s="191"/>
    </row>
    <row r="3" spans="1:7" ht="24.9" customHeight="1" thickTop="1" thickBot="1">
      <c r="A3" s="76" t="s">
        <v>266</v>
      </c>
      <c r="B3" s="39"/>
      <c r="C3" s="40"/>
      <c r="D3" s="200"/>
      <c r="E3" s="132">
        <f t="shared" ref="E3:E11" si="0">(D3*5)/100</f>
        <v>0</v>
      </c>
      <c r="F3" s="132">
        <f t="shared" ref="F3:F11" si="1">B3*(D3/100)</f>
        <v>0</v>
      </c>
      <c r="G3" s="191"/>
    </row>
    <row r="4" spans="1:7" ht="24.9" customHeight="1" thickTop="1">
      <c r="A4" s="76" t="s">
        <v>265</v>
      </c>
      <c r="B4" s="39"/>
      <c r="C4" s="40"/>
      <c r="D4" s="68"/>
      <c r="E4" s="132">
        <f t="shared" si="0"/>
        <v>0</v>
      </c>
      <c r="F4" s="132">
        <f t="shared" si="1"/>
        <v>0</v>
      </c>
      <c r="G4" s="191"/>
    </row>
    <row r="5" spans="1:7" ht="24.9" customHeight="1">
      <c r="A5" s="76" t="s">
        <v>267</v>
      </c>
      <c r="B5" s="39"/>
      <c r="C5" s="40"/>
      <c r="D5" s="68"/>
      <c r="E5" s="132">
        <f t="shared" si="0"/>
        <v>0</v>
      </c>
      <c r="F5" s="132">
        <f t="shared" si="1"/>
        <v>0</v>
      </c>
      <c r="G5" s="191"/>
    </row>
    <row r="6" spans="1:7" ht="24.9" customHeight="1">
      <c r="A6" s="76" t="s">
        <v>268</v>
      </c>
      <c r="B6" s="39"/>
      <c r="C6" s="40"/>
      <c r="D6" s="68"/>
      <c r="E6" s="132">
        <f t="shared" si="0"/>
        <v>0</v>
      </c>
      <c r="F6" s="132">
        <f t="shared" si="1"/>
        <v>0</v>
      </c>
      <c r="G6" s="191"/>
    </row>
    <row r="7" spans="1:7" ht="25.5" customHeight="1">
      <c r="A7" s="76" t="s">
        <v>269</v>
      </c>
      <c r="B7" s="39"/>
      <c r="C7" s="40"/>
      <c r="D7" s="68"/>
      <c r="E7" s="132">
        <f t="shared" si="0"/>
        <v>0</v>
      </c>
      <c r="F7" s="132">
        <f t="shared" si="1"/>
        <v>0</v>
      </c>
      <c r="G7" s="191"/>
    </row>
    <row r="8" spans="1:7" ht="25.5" customHeight="1">
      <c r="A8" s="76" t="s">
        <v>270</v>
      </c>
      <c r="B8" s="39"/>
      <c r="C8" s="40"/>
      <c r="D8" s="68"/>
      <c r="E8" s="132">
        <f t="shared" si="0"/>
        <v>0</v>
      </c>
      <c r="F8" s="132">
        <f t="shared" si="1"/>
        <v>0</v>
      </c>
      <c r="G8" s="191"/>
    </row>
    <row r="9" spans="1:7" ht="25.5" customHeight="1">
      <c r="A9" s="76" t="s">
        <v>271</v>
      </c>
      <c r="B9" s="39"/>
      <c r="C9" s="40"/>
      <c r="D9" s="68"/>
      <c r="E9" s="132">
        <f t="shared" si="0"/>
        <v>0</v>
      </c>
      <c r="F9" s="132">
        <f t="shared" si="1"/>
        <v>0</v>
      </c>
      <c r="G9" s="191"/>
    </row>
    <row r="10" spans="1:7" ht="15" customHeight="1" thickBot="1">
      <c r="A10" s="76" t="s">
        <v>2</v>
      </c>
      <c r="B10" s="39"/>
      <c r="C10" s="36"/>
      <c r="D10" s="200"/>
      <c r="E10" s="132">
        <f t="shared" si="0"/>
        <v>0</v>
      </c>
      <c r="F10" s="132">
        <f t="shared" si="1"/>
        <v>0</v>
      </c>
      <c r="G10" s="191"/>
    </row>
    <row r="11" spans="1:7" ht="15" customHeight="1" thickTop="1" thickBot="1">
      <c r="A11" s="99" t="s">
        <v>3</v>
      </c>
      <c r="B11" s="39"/>
      <c r="C11" s="199"/>
      <c r="D11" s="200"/>
      <c r="E11" s="132">
        <f t="shared" si="0"/>
        <v>0</v>
      </c>
      <c r="F11" s="132">
        <f t="shared" si="1"/>
        <v>0</v>
      </c>
      <c r="G11" s="191"/>
    </row>
    <row r="12" spans="1:7" ht="15" customHeight="1" thickTop="1">
      <c r="A12" s="90"/>
      <c r="B12" s="91"/>
      <c r="C12" s="91"/>
      <c r="D12" s="92"/>
      <c r="E12" s="131">
        <f>SUM(E2:E11)</f>
        <v>0</v>
      </c>
      <c r="F12" s="131">
        <f>SUM(F2:F11)</f>
        <v>0</v>
      </c>
    </row>
    <row r="13" spans="1:7" ht="15" customHeight="1" thickBot="1">
      <c r="A13" s="93" t="s">
        <v>4</v>
      </c>
      <c r="B13" s="94"/>
      <c r="C13" s="94"/>
      <c r="D13" s="170" t="e">
        <f>(F12/E12)*100</f>
        <v>#DIV/0!</v>
      </c>
    </row>
    <row r="14" spans="1:7" ht="10.8" thickTop="1"/>
    <row r="15" spans="1:7" ht="96.75" customHeight="1">
      <c r="A15" s="81" t="s">
        <v>258</v>
      </c>
      <c r="B15" s="215" t="s">
        <v>280</v>
      </c>
      <c r="C15" s="215"/>
      <c r="D15" s="219"/>
      <c r="E15" s="220"/>
    </row>
    <row r="16" spans="1:7" ht="99" customHeight="1">
      <c r="A16" s="80" t="s">
        <v>257</v>
      </c>
      <c r="B16" s="215" t="s">
        <v>281</v>
      </c>
      <c r="C16" s="220"/>
      <c r="D16" s="220"/>
      <c r="E16" s="135"/>
    </row>
    <row r="17" spans="1:5" ht="49.65" customHeight="1">
      <c r="A17" s="82" t="s">
        <v>259</v>
      </c>
      <c r="B17" s="217" t="s">
        <v>253</v>
      </c>
      <c r="C17" s="221"/>
      <c r="D17" s="221"/>
      <c r="E17" s="135"/>
    </row>
    <row r="18" spans="1:5" ht="13.2">
      <c r="B18" s="101"/>
      <c r="C18" s="101"/>
      <c r="D18" s="101"/>
    </row>
  </sheetData>
  <sheetProtection password="DF87" sheet="1" formatCells="0"/>
  <mergeCells count="3">
    <mergeCell ref="B15:E15"/>
    <mergeCell ref="B16:D16"/>
    <mergeCell ref="B17:D17"/>
  </mergeCells>
  <phoneticPr fontId="0" type="noConversion"/>
  <printOptions gridLines="1"/>
  <pageMargins left="0.75" right="0.75" top="1" bottom="1" header="0.5" footer="0.5"/>
  <pageSetup orientation="landscape" verticalDpi="0" r:id="rId1"/>
  <headerFooter alignWithMargins="0"/>
  <customProperties>
    <customPr name="DVSECTIONID" r:id="rId2"/>
  </customProperties>
</worksheet>
</file>

<file path=xl/worksheets/sheet4.xml><?xml version="1.0" encoding="utf-8"?>
<worksheet xmlns="http://schemas.openxmlformats.org/spreadsheetml/2006/main" xmlns:r="http://schemas.openxmlformats.org/officeDocument/2006/relationships">
  <sheetPr codeName="Sheet4"/>
  <dimension ref="A1:J14"/>
  <sheetViews>
    <sheetView workbookViewId="0">
      <selection activeCell="B10" sqref="B10"/>
    </sheetView>
  </sheetViews>
  <sheetFormatPr defaultColWidth="9.109375" defaultRowHeight="13.2"/>
  <cols>
    <col min="1" max="1" width="26.5546875" style="104" customWidth="1"/>
    <col min="2" max="2" width="5.6640625" style="104" customWidth="1"/>
    <col min="3" max="3" width="7.6640625" style="104" customWidth="1"/>
    <col min="4" max="6" width="7.6640625" style="104" hidden="1" customWidth="1"/>
    <col min="7" max="7" width="11.33203125" style="104" customWidth="1"/>
    <col min="8" max="8" width="11.109375" style="138" hidden="1" customWidth="1"/>
    <col min="9" max="9" width="0" style="138" hidden="1" customWidth="1"/>
    <col min="10" max="10" width="63.33203125" style="104" customWidth="1"/>
    <col min="11" max="16384" width="9.109375" style="104"/>
  </cols>
  <sheetData>
    <row r="1" spans="1:10" ht="16.8" thickTop="1" thickBot="1">
      <c r="A1" s="102"/>
      <c r="B1" s="103"/>
    </row>
    <row r="2" spans="1:10" ht="63" customHeight="1" thickTop="1" thickBot="1">
      <c r="A2" s="56" t="s">
        <v>238</v>
      </c>
      <c r="B2" s="57" t="s">
        <v>239</v>
      </c>
      <c r="C2" s="224" t="s">
        <v>282</v>
      </c>
      <c r="D2" s="225"/>
      <c r="E2" s="225"/>
      <c r="F2" s="225"/>
      <c r="G2" s="225"/>
      <c r="H2" s="192"/>
    </row>
    <row r="3" spans="1:10" ht="27" customHeight="1">
      <c r="A3" s="58" t="s">
        <v>240</v>
      </c>
      <c r="B3" s="59"/>
      <c r="C3" s="222"/>
      <c r="D3" s="223"/>
      <c r="E3" s="223"/>
      <c r="F3" s="223"/>
      <c r="G3" s="223"/>
      <c r="H3" s="192"/>
    </row>
    <row r="4" spans="1:10" ht="18" customHeight="1">
      <c r="A4" s="60" t="s">
        <v>241</v>
      </c>
      <c r="B4" s="59"/>
      <c r="C4" s="222"/>
      <c r="D4" s="223"/>
      <c r="E4" s="223"/>
      <c r="F4" s="223"/>
      <c r="G4" s="223"/>
      <c r="H4" s="192"/>
    </row>
    <row r="5" spans="1:10">
      <c r="A5" s="104" t="s">
        <v>242</v>
      </c>
      <c r="B5" s="59"/>
      <c r="C5" s="222"/>
      <c r="D5" s="223"/>
      <c r="E5" s="223"/>
      <c r="F5" s="223"/>
      <c r="G5" s="223"/>
      <c r="H5" s="192"/>
    </row>
    <row r="6" spans="1:10" ht="13.8" thickBot="1"/>
    <row r="7" spans="1:10" ht="63.6" thickTop="1" thickBot="1">
      <c r="A7" s="105" t="s">
        <v>243</v>
      </c>
      <c r="B7" s="72" t="s">
        <v>235</v>
      </c>
      <c r="C7" s="181" t="s">
        <v>142</v>
      </c>
      <c r="D7" s="136"/>
      <c r="E7" s="136"/>
      <c r="F7" s="136"/>
      <c r="G7" s="73" t="s">
        <v>13</v>
      </c>
      <c r="H7" s="139"/>
      <c r="J7" s="193" t="s">
        <v>282</v>
      </c>
    </row>
    <row r="8" spans="1:10" ht="26.4">
      <c r="A8" s="74" t="s">
        <v>246</v>
      </c>
      <c r="B8" s="33"/>
      <c r="C8" s="34"/>
      <c r="D8" s="171"/>
      <c r="E8" s="171"/>
      <c r="F8" s="171"/>
      <c r="G8" s="66"/>
      <c r="H8" s="140">
        <f>(G8*5)/100</f>
        <v>0</v>
      </c>
      <c r="I8" s="140">
        <f>B8*(G8/100)</f>
        <v>0</v>
      </c>
      <c r="J8" s="194"/>
    </row>
    <row r="9" spans="1:10" ht="39.6">
      <c r="A9" s="176" t="s">
        <v>247</v>
      </c>
      <c r="B9" s="33"/>
      <c r="C9" s="36"/>
      <c r="D9" s="172"/>
      <c r="E9" s="172"/>
      <c r="F9" s="172"/>
      <c r="G9" s="67"/>
      <c r="H9" s="140">
        <f>(G9*5)/100</f>
        <v>0</v>
      </c>
      <c r="I9" s="140">
        <f>B9*(G9/100)</f>
        <v>0</v>
      </c>
      <c r="J9" s="194"/>
    </row>
    <row r="10" spans="1:10" ht="26.4">
      <c r="A10" s="76" t="s">
        <v>244</v>
      </c>
      <c r="B10" s="33">
        <v>2</v>
      </c>
      <c r="C10" s="36">
        <v>1</v>
      </c>
      <c r="D10" s="172"/>
      <c r="E10" s="172"/>
      <c r="F10" s="172"/>
      <c r="G10" s="67">
        <v>100</v>
      </c>
      <c r="H10" s="140">
        <f>(G10*5)/100</f>
        <v>5</v>
      </c>
      <c r="I10" s="140">
        <f>B10*(G10/100)</f>
        <v>2</v>
      </c>
      <c r="J10" s="194"/>
    </row>
    <row r="11" spans="1:10" ht="39.6">
      <c r="A11" s="76" t="s">
        <v>245</v>
      </c>
      <c r="B11" s="33"/>
      <c r="C11" s="173"/>
      <c r="D11" s="174"/>
      <c r="E11" s="174"/>
      <c r="F11" s="174"/>
      <c r="G11" s="175"/>
      <c r="H11" s="140">
        <f>(G11*5)/100</f>
        <v>0</v>
      </c>
      <c r="I11" s="140">
        <f>B11*(G11/100)</f>
        <v>0</v>
      </c>
      <c r="J11" s="194"/>
    </row>
    <row r="12" spans="1:10" ht="13.8" thickBot="1">
      <c r="A12" s="77"/>
      <c r="B12" s="178"/>
      <c r="C12" s="178"/>
      <c r="D12" s="179"/>
      <c r="E12" s="179"/>
      <c r="F12" s="179"/>
      <c r="G12" s="180"/>
      <c r="H12" s="140">
        <f>SUM(H8:H11)</f>
        <v>5</v>
      </c>
      <c r="I12" s="140">
        <f>SUM(I8:I11)</f>
        <v>2</v>
      </c>
    </row>
    <row r="13" spans="1:10" ht="27.6" thickTop="1" thickBot="1">
      <c r="A13" s="77" t="s">
        <v>159</v>
      </c>
      <c r="B13" s="78"/>
      <c r="C13" s="79"/>
      <c r="D13" s="137"/>
      <c r="E13" s="137"/>
      <c r="F13" s="137"/>
      <c r="G13" s="177">
        <f>(I12/H12)*100</f>
        <v>40</v>
      </c>
      <c r="H13" s="140"/>
      <c r="I13" s="140"/>
    </row>
    <row r="14" spans="1:10" ht="13.8" thickTop="1"/>
  </sheetData>
  <sheetProtection password="DF87" sheet="1" formatCells="0"/>
  <mergeCells count="4">
    <mergeCell ref="C3:G3"/>
    <mergeCell ref="C4:G4"/>
    <mergeCell ref="C5:G5"/>
    <mergeCell ref="C2:G2"/>
  </mergeCells>
  <phoneticPr fontId="0" type="noConversion"/>
  <pageMargins left="0.75" right="0.75" top="1" bottom="1" header="0.5" footer="0.5"/>
  <pageSetup orientation="portrait" verticalDpi="0" r:id="rId1"/>
  <headerFooter alignWithMargins="0"/>
  <customProperties>
    <customPr name="DVSECTIONID" r:id="rId2"/>
  </customProperties>
  <legacyDrawing r:id="rId3"/>
</worksheet>
</file>

<file path=xl/worksheets/sheet5.xml><?xml version="1.0" encoding="utf-8"?>
<worksheet xmlns="http://schemas.openxmlformats.org/spreadsheetml/2006/main" xmlns:r="http://schemas.openxmlformats.org/officeDocument/2006/relationships">
  <sheetPr codeName="Sheet5"/>
  <dimension ref="A1:H51"/>
  <sheetViews>
    <sheetView tabSelected="1" topLeftCell="A2" workbookViewId="0">
      <selection activeCell="E10" sqref="E10"/>
    </sheetView>
  </sheetViews>
  <sheetFormatPr defaultColWidth="9.109375" defaultRowHeight="8.4"/>
  <cols>
    <col min="1" max="1" width="30.44140625" style="107" customWidth="1"/>
    <col min="2" max="2" width="3.5546875" style="107" customWidth="1"/>
    <col min="3" max="3" width="8.6640625" style="107" customWidth="1"/>
    <col min="4" max="4" width="8.109375" style="107" customWidth="1"/>
    <col min="5" max="5" width="8" style="108" customWidth="1"/>
    <col min="6" max="7" width="4.6640625" style="108" customWidth="1"/>
    <col min="8" max="8" width="54.5546875" style="108" customWidth="1"/>
    <col min="9" max="16384" width="9.109375" style="108"/>
  </cols>
  <sheetData>
    <row r="1" spans="1:8" ht="12.6" customHeight="1">
      <c r="A1" s="106" t="s">
        <v>150</v>
      </c>
      <c r="B1" s="106"/>
    </row>
    <row r="2" spans="1:8" ht="12.6" customHeight="1" thickBot="1">
      <c r="A2" s="106"/>
      <c r="B2" s="106"/>
      <c r="D2" s="109" t="s">
        <v>167</v>
      </c>
    </row>
    <row r="3" spans="1:8" ht="73.5" customHeight="1" thickBot="1">
      <c r="A3" s="226" t="s">
        <v>164</v>
      </c>
      <c r="B3" s="227"/>
      <c r="C3" s="110" t="s">
        <v>154</v>
      </c>
      <c r="D3" s="111" t="s">
        <v>155</v>
      </c>
      <c r="E3" s="110" t="s">
        <v>156</v>
      </c>
      <c r="F3" s="110" t="s">
        <v>157</v>
      </c>
      <c r="G3" s="110" t="s">
        <v>158</v>
      </c>
      <c r="H3" s="190" t="s">
        <v>282</v>
      </c>
    </row>
    <row r="4" spans="1:8" s="114" customFormat="1" ht="12.6" customHeight="1">
      <c r="A4" s="112" t="s">
        <v>8</v>
      </c>
      <c r="B4" s="113" t="s">
        <v>151</v>
      </c>
      <c r="C4" s="41" t="e">
        <f>100-(flowmod!D12)</f>
        <v>#DIV/0!</v>
      </c>
      <c r="D4" s="42" t="e">
        <f>G4/$G$8</f>
        <v>#DIV/0!</v>
      </c>
      <c r="E4" s="43" t="e">
        <f>C4*D4</f>
        <v>#DIV/0!</v>
      </c>
      <c r="F4" s="44"/>
      <c r="G4" s="44"/>
      <c r="H4" s="195"/>
    </row>
    <row r="5" spans="1:8" s="114" customFormat="1" ht="12.6" customHeight="1">
      <c r="A5" s="112" t="s">
        <v>6</v>
      </c>
      <c r="B5" s="113" t="s">
        <v>152</v>
      </c>
      <c r="C5" s="41" t="e">
        <f>100-(habitat!D13)</f>
        <v>#DIV/0!</v>
      </c>
      <c r="D5" s="42" t="e">
        <f>G5/$G$8</f>
        <v>#DIV/0!</v>
      </c>
      <c r="E5" s="43" t="e">
        <f>C5*D5</f>
        <v>#DIV/0!</v>
      </c>
      <c r="F5" s="44"/>
      <c r="G5" s="44"/>
      <c r="H5" s="195"/>
    </row>
    <row r="6" spans="1:8" s="114" customFormat="1" ht="12.6" customHeight="1" thickBot="1">
      <c r="A6" s="115" t="s">
        <v>7</v>
      </c>
      <c r="B6" s="116" t="s">
        <v>153</v>
      </c>
      <c r="C6" s="45" t="e">
        <f>100-(wq!D13)</f>
        <v>#DIV/0!</v>
      </c>
      <c r="D6" s="46" t="e">
        <f>G6/$G$8</f>
        <v>#DIV/0!</v>
      </c>
      <c r="E6" s="47" t="e">
        <f>C6*D6</f>
        <v>#DIV/0!</v>
      </c>
      <c r="F6" s="48"/>
      <c r="G6" s="48"/>
      <c r="H6" s="195"/>
    </row>
    <row r="7" spans="1:8" s="114" customFormat="1" ht="12.6" customHeight="1" thickBot="1">
      <c r="A7" s="115" t="s">
        <v>249</v>
      </c>
      <c r="B7" s="116" t="s">
        <v>250</v>
      </c>
      <c r="C7" s="45">
        <f>100-('Con &amp; Seas'!G13)</f>
        <v>60</v>
      </c>
      <c r="D7" s="46" t="e">
        <f>G7/$G$8</f>
        <v>#DIV/0!</v>
      </c>
      <c r="E7" s="47" t="e">
        <f>C7*D7</f>
        <v>#DIV/0!</v>
      </c>
      <c r="F7" s="48"/>
      <c r="G7" s="48"/>
      <c r="H7" s="195"/>
    </row>
    <row r="8" spans="1:8" s="114" customFormat="1" ht="12.6" customHeight="1">
      <c r="A8" s="117"/>
      <c r="B8" s="118"/>
      <c r="C8" s="41"/>
      <c r="D8" s="49"/>
      <c r="E8" s="43"/>
      <c r="F8" s="52"/>
      <c r="G8" s="52">
        <f>SUM(G4:G7)</f>
        <v>0</v>
      </c>
    </row>
    <row r="9" spans="1:8" s="114" customFormat="1" ht="12.6" customHeight="1">
      <c r="A9" s="112" t="s">
        <v>165</v>
      </c>
      <c r="B9" s="113"/>
      <c r="C9" s="50"/>
      <c r="D9" s="51"/>
      <c r="E9" s="52" t="e">
        <f>SUM(E4:E7)</f>
        <v>#DIV/0!</v>
      </c>
      <c r="F9" s="52"/>
      <c r="G9" s="119"/>
    </row>
    <row r="10" spans="1:8" s="114" customFormat="1" ht="12.6" customHeight="1" thickBot="1">
      <c r="A10" s="115" t="s">
        <v>166</v>
      </c>
      <c r="B10" s="116"/>
      <c r="C10" s="53"/>
      <c r="D10" s="54"/>
      <c r="E10" s="55" t="e">
        <f>IF(E9="","",IF(E9&gt;=92,"A",IF(AND(E9&lt;92,E9&gt;88),"A/B",IF(AND(E9&gt;82,E9&lt;=88),"B",IF(AND(E9&gt;78,E9&lt;=82),"C/B",IF(AND(E9&gt;62,E9&lt;=78),"C", IF(AND(E9&gt;58,E9&lt;=62),"C/D",IF(AND(E9&gt;42,E9&lt;=58),"D",IF(AND(E9&gt;38,E9&lt;=42),"D/E",IF(AND(E9&gt;22,E9&lt;38),"E",IF(AND(E9&gt;18,E9&lt;=22),"E/F","F")))))))))))</f>
        <v>#DIV/0!</v>
      </c>
      <c r="F10" s="120"/>
      <c r="G10" s="121"/>
    </row>
    <row r="11" spans="1:8" s="114" customFormat="1" ht="12.6" customHeight="1">
      <c r="A11" s="122" t="s">
        <v>12</v>
      </c>
      <c r="B11" s="122"/>
      <c r="C11" s="123"/>
      <c r="D11" s="100"/>
    </row>
    <row r="12" spans="1:8" ht="12.6" customHeight="1">
      <c r="D12" s="124"/>
      <c r="E12" s="124"/>
    </row>
    <row r="13" spans="1:8" ht="39.75" customHeight="1">
      <c r="A13" s="228" t="s">
        <v>260</v>
      </c>
      <c r="B13" s="229"/>
      <c r="C13" s="229"/>
      <c r="D13" s="230"/>
      <c r="E13" s="230"/>
      <c r="F13" s="230"/>
      <c r="G13" s="230"/>
    </row>
    <row r="14" spans="1:8" ht="48.75" customHeight="1">
      <c r="A14" s="231" t="s">
        <v>163</v>
      </c>
      <c r="B14" s="232"/>
      <c r="C14" s="232"/>
      <c r="D14" s="232"/>
      <c r="E14" s="232"/>
      <c r="F14" s="232"/>
      <c r="G14" s="232"/>
      <c r="H14" s="214"/>
    </row>
    <row r="15" spans="1:8" s="125" customFormat="1" ht="40.65" customHeight="1">
      <c r="A15" s="228" t="s">
        <v>261</v>
      </c>
      <c r="B15" s="216"/>
      <c r="C15" s="216"/>
      <c r="D15" s="216"/>
      <c r="E15" s="216"/>
      <c r="F15" s="216"/>
      <c r="G15" s="216"/>
      <c r="H15" s="214"/>
    </row>
    <row r="16" spans="1:8" ht="24.75" customHeight="1">
      <c r="A16" s="101"/>
      <c r="B16" s="101"/>
      <c r="C16" s="101"/>
      <c r="D16" s="101"/>
      <c r="E16" s="101"/>
      <c r="F16" s="101"/>
      <c r="G16" s="101"/>
    </row>
    <row r="17" spans="1:5" s="129" customFormat="1" ht="15" customHeight="1">
      <c r="A17" s="126"/>
      <c r="B17" s="126"/>
      <c r="C17" s="124"/>
      <c r="D17" s="127"/>
      <c r="E17" s="128"/>
    </row>
    <row r="18" spans="1:5" s="129" customFormat="1" ht="15" customHeight="1">
      <c r="A18" s="126"/>
      <c r="B18" s="126"/>
      <c r="C18" s="124"/>
      <c r="D18" s="127"/>
      <c r="E18" s="128"/>
    </row>
    <row r="19" spans="1:5" s="129" customFormat="1" ht="15" customHeight="1">
      <c r="A19" s="124"/>
      <c r="B19" s="124"/>
      <c r="C19" s="124"/>
      <c r="D19" s="130"/>
      <c r="E19" s="130"/>
    </row>
    <row r="20" spans="1:5" s="129" customFormat="1" ht="15" customHeight="1">
      <c r="A20" s="126"/>
      <c r="B20" s="126"/>
      <c r="C20" s="124"/>
      <c r="D20" s="127"/>
      <c r="E20" s="128"/>
    </row>
    <row r="21" spans="1:5" s="129" customFormat="1" ht="15" customHeight="1">
      <c r="A21" s="126"/>
      <c r="B21" s="126"/>
      <c r="C21" s="124"/>
      <c r="D21" s="127"/>
      <c r="E21" s="128"/>
    </row>
    <row r="22" spans="1:5" s="129" customFormat="1" ht="15" customHeight="1">
      <c r="A22" s="126"/>
      <c r="B22" s="126"/>
      <c r="C22" s="124"/>
      <c r="D22" s="127"/>
      <c r="E22" s="128"/>
    </row>
    <row r="23" spans="1:5" s="129" customFormat="1" ht="15" customHeight="1">
      <c r="A23" s="126"/>
      <c r="B23" s="126"/>
      <c r="C23" s="124"/>
      <c r="D23" s="127"/>
      <c r="E23" s="128"/>
    </row>
    <row r="24" spans="1:5" s="129" customFormat="1" ht="15" customHeight="1">
      <c r="A24" s="126"/>
      <c r="B24" s="126"/>
      <c r="C24" s="124"/>
      <c r="D24" s="127"/>
      <c r="E24" s="128"/>
    </row>
    <row r="25" spans="1:5" s="129" customFormat="1" ht="15" customHeight="1">
      <c r="A25" s="126"/>
      <c r="B25" s="126"/>
      <c r="C25" s="124"/>
      <c r="D25" s="127"/>
      <c r="E25" s="128"/>
    </row>
    <row r="26" spans="1:5" s="129" customFormat="1" ht="15" customHeight="1">
      <c r="A26" s="126"/>
      <c r="B26" s="126"/>
      <c r="C26" s="124"/>
      <c r="D26" s="127"/>
      <c r="E26" s="128"/>
    </row>
    <row r="27" spans="1:5" s="129" customFormat="1" ht="15" customHeight="1">
      <c r="A27" s="126"/>
      <c r="B27" s="126"/>
      <c r="C27" s="124"/>
      <c r="D27" s="127"/>
      <c r="E27" s="128"/>
    </row>
    <row r="28" spans="1:5" s="129" customFormat="1" ht="15" customHeight="1">
      <c r="A28" s="126"/>
      <c r="B28" s="126"/>
      <c r="C28" s="124"/>
      <c r="D28" s="127"/>
      <c r="E28" s="128"/>
    </row>
    <row r="29" spans="1:5" s="129" customFormat="1" ht="15" customHeight="1">
      <c r="A29" s="126"/>
      <c r="B29" s="126"/>
      <c r="C29" s="124"/>
      <c r="D29" s="127"/>
      <c r="E29" s="128"/>
    </row>
    <row r="30" spans="1:5" s="129" customFormat="1" ht="15" customHeight="1">
      <c r="A30" s="124"/>
      <c r="B30" s="124"/>
      <c r="C30" s="124"/>
      <c r="D30" s="130"/>
      <c r="E30" s="130"/>
    </row>
    <row r="31" spans="1:5" s="129" customFormat="1" ht="15" customHeight="1">
      <c r="A31" s="126"/>
      <c r="B31" s="126"/>
      <c r="C31" s="124"/>
      <c r="D31" s="127"/>
      <c r="E31" s="128"/>
    </row>
    <row r="32" spans="1:5" s="129" customFormat="1" ht="15" customHeight="1">
      <c r="A32" s="126"/>
      <c r="B32" s="126"/>
      <c r="C32" s="124"/>
      <c r="D32" s="127"/>
      <c r="E32" s="128"/>
    </row>
    <row r="33" spans="1:5" s="129" customFormat="1" ht="15" customHeight="1">
      <c r="A33" s="126"/>
      <c r="B33" s="126"/>
      <c r="C33" s="124"/>
      <c r="D33" s="127"/>
      <c r="E33" s="128"/>
    </row>
    <row r="34" spans="1:5" s="129" customFormat="1" ht="15" customHeight="1">
      <c r="A34" s="126"/>
      <c r="B34" s="126"/>
      <c r="C34" s="124"/>
      <c r="D34" s="127"/>
      <c r="E34" s="128"/>
    </row>
    <row r="35" spans="1:5" s="129" customFormat="1" ht="15" customHeight="1">
      <c r="A35" s="126"/>
      <c r="B35" s="126"/>
      <c r="C35" s="124"/>
      <c r="D35" s="127"/>
      <c r="E35" s="128"/>
    </row>
    <row r="36" spans="1:5" s="129" customFormat="1" ht="15" customHeight="1">
      <c r="A36" s="126"/>
      <c r="B36" s="126"/>
      <c r="C36" s="124"/>
      <c r="D36" s="127"/>
      <c r="E36" s="128"/>
    </row>
    <row r="37" spans="1:5" s="129" customFormat="1" ht="15" customHeight="1">
      <c r="A37" s="126"/>
      <c r="B37" s="126"/>
      <c r="C37" s="124"/>
      <c r="D37" s="127"/>
      <c r="E37" s="128"/>
    </row>
    <row r="38" spans="1:5" s="129" customFormat="1" ht="15" customHeight="1">
      <c r="A38" s="126"/>
      <c r="B38" s="126"/>
      <c r="C38" s="124"/>
      <c r="D38" s="127"/>
      <c r="E38" s="128"/>
    </row>
    <row r="39" spans="1:5" s="129" customFormat="1">
      <c r="A39" s="124"/>
      <c r="B39" s="124"/>
      <c r="C39" s="124"/>
      <c r="D39" s="130"/>
      <c r="E39" s="130"/>
    </row>
    <row r="40" spans="1:5" s="129" customFormat="1">
      <c r="A40" s="124"/>
      <c r="B40" s="124"/>
      <c r="C40" s="124"/>
      <c r="D40" s="127"/>
      <c r="E40" s="127"/>
    </row>
    <row r="41" spans="1:5" s="129" customFormat="1">
      <c r="A41" s="124"/>
      <c r="B41" s="124"/>
      <c r="C41" s="124"/>
      <c r="D41" s="124"/>
    </row>
    <row r="42" spans="1:5" s="129" customFormat="1">
      <c r="A42" s="124"/>
      <c r="B42" s="124"/>
      <c r="C42" s="124"/>
      <c r="D42" s="124"/>
    </row>
    <row r="43" spans="1:5" s="129" customFormat="1">
      <c r="A43" s="124"/>
      <c r="B43" s="124"/>
      <c r="C43" s="124"/>
      <c r="D43" s="124"/>
    </row>
    <row r="44" spans="1:5" s="129" customFormat="1">
      <c r="A44" s="124"/>
      <c r="B44" s="124"/>
      <c r="C44" s="124"/>
      <c r="D44" s="124"/>
    </row>
    <row r="45" spans="1:5" s="129" customFormat="1">
      <c r="A45" s="124"/>
      <c r="B45" s="124"/>
      <c r="C45" s="124"/>
      <c r="D45" s="124"/>
    </row>
    <row r="46" spans="1:5" s="129" customFormat="1">
      <c r="A46" s="124"/>
      <c r="B46" s="124"/>
      <c r="C46" s="124"/>
      <c r="D46" s="124"/>
    </row>
    <row r="47" spans="1:5" s="129" customFormat="1">
      <c r="A47" s="124"/>
      <c r="B47" s="124"/>
      <c r="C47" s="124"/>
      <c r="D47" s="124"/>
    </row>
    <row r="48" spans="1:5" s="129" customFormat="1">
      <c r="A48" s="124"/>
      <c r="B48" s="124"/>
      <c r="C48" s="124"/>
      <c r="D48" s="124"/>
    </row>
    <row r="49" spans="1:4" s="129" customFormat="1">
      <c r="A49" s="124"/>
      <c r="B49" s="124"/>
      <c r="C49" s="124"/>
      <c r="D49" s="124"/>
    </row>
    <row r="50" spans="1:4" s="129" customFormat="1">
      <c r="A50" s="124"/>
      <c r="B50" s="124"/>
      <c r="C50" s="124"/>
      <c r="D50" s="124"/>
    </row>
    <row r="51" spans="1:4" s="129" customFormat="1">
      <c r="A51" s="124"/>
      <c r="B51" s="124"/>
      <c r="C51" s="124"/>
      <c r="D51" s="124"/>
    </row>
  </sheetData>
  <sheetProtection formatCells="0"/>
  <mergeCells count="4">
    <mergeCell ref="A3:B3"/>
    <mergeCell ref="A13:G13"/>
    <mergeCell ref="A14:G14"/>
    <mergeCell ref="A15:G15"/>
  </mergeCells>
  <phoneticPr fontId="0" type="noConversion"/>
  <pageMargins left="0.75" right="0.75" top="1" bottom="1" header="0.5" footer="0.5"/>
  <pageSetup paperSize="9" orientation="portrait" horizontalDpi="300" verticalDpi="300" r:id="rId1"/>
  <headerFooter alignWithMargins="0"/>
  <customProperties>
    <customPr name="DVSECTIONID" r:id="rId2"/>
  </customProperties>
</worksheet>
</file>

<file path=xl/worksheets/sheet6.xml><?xml version="1.0" encoding="utf-8"?>
<worksheet xmlns="http://schemas.openxmlformats.org/spreadsheetml/2006/main" xmlns:r="http://schemas.openxmlformats.org/officeDocument/2006/relationships">
  <sheetPr codeName="Sheet6"/>
  <dimension ref="A1:H25"/>
  <sheetViews>
    <sheetView workbookViewId="0">
      <selection activeCell="F32" sqref="F32"/>
    </sheetView>
  </sheetViews>
  <sheetFormatPr defaultRowHeight="13.2"/>
  <cols>
    <col min="1" max="1" width="14.44140625" style="183" customWidth="1"/>
    <col min="2" max="2" width="11" style="183" customWidth="1"/>
    <col min="3" max="3" width="12.109375" style="183" customWidth="1"/>
    <col min="4" max="4" width="14.33203125" style="183" customWidth="1"/>
    <col min="5" max="5" width="13.44140625" style="183" customWidth="1"/>
    <col min="6" max="6" width="16.33203125" style="183" customWidth="1"/>
    <col min="7" max="7" width="17.5546875" style="183" customWidth="1"/>
    <col min="8" max="8" width="14.5546875" style="183" customWidth="1"/>
  </cols>
  <sheetData>
    <row r="1" spans="1:8">
      <c r="A1" s="183" t="s">
        <v>272</v>
      </c>
      <c r="B1" s="183" t="s">
        <v>273</v>
      </c>
      <c r="C1" s="183" t="s">
        <v>274</v>
      </c>
      <c r="D1" s="183" t="s">
        <v>275</v>
      </c>
      <c r="E1" s="183" t="s">
        <v>276</v>
      </c>
      <c r="F1" s="183" t="s">
        <v>277</v>
      </c>
      <c r="G1" s="183" t="s">
        <v>278</v>
      </c>
      <c r="H1" s="183" t="s">
        <v>22</v>
      </c>
    </row>
    <row r="2" spans="1:8">
      <c r="A2" s="182" t="s">
        <v>44</v>
      </c>
      <c r="B2" s="182" t="s">
        <v>125</v>
      </c>
      <c r="C2" s="182" t="s">
        <v>32</v>
      </c>
      <c r="D2" s="182" t="s">
        <v>47</v>
      </c>
      <c r="E2" s="182" t="s">
        <v>55</v>
      </c>
      <c r="F2" s="182" t="s">
        <v>85</v>
      </c>
      <c r="G2" s="182" t="s">
        <v>104</v>
      </c>
      <c r="H2" s="182" t="s">
        <v>35</v>
      </c>
    </row>
    <row r="3" spans="1:8">
      <c r="A3" s="184" t="s">
        <v>86</v>
      </c>
      <c r="B3" s="182" t="s">
        <v>62</v>
      </c>
      <c r="C3" s="182" t="s">
        <v>45</v>
      </c>
      <c r="E3" s="182" t="s">
        <v>77</v>
      </c>
      <c r="F3" s="182" t="s">
        <v>74</v>
      </c>
      <c r="G3" s="182" t="s">
        <v>105</v>
      </c>
      <c r="H3" s="182" t="s">
        <v>66</v>
      </c>
    </row>
    <row r="4" spans="1:8">
      <c r="A4" s="182" t="s">
        <v>76</v>
      </c>
      <c r="B4" s="182" t="s">
        <v>101</v>
      </c>
      <c r="C4" s="182" t="s">
        <v>63</v>
      </c>
      <c r="E4" s="182" t="s">
        <v>92</v>
      </c>
      <c r="F4" s="182" t="s">
        <v>95</v>
      </c>
      <c r="G4" s="182" t="s">
        <v>96</v>
      </c>
      <c r="H4" s="182" t="s">
        <v>118</v>
      </c>
    </row>
    <row r="5" spans="1:8">
      <c r="A5" s="182" t="s">
        <v>110</v>
      </c>
      <c r="B5" s="182" t="s">
        <v>126</v>
      </c>
      <c r="F5" s="182" t="s">
        <v>46</v>
      </c>
      <c r="G5" s="182" t="s">
        <v>109</v>
      </c>
      <c r="H5" s="182" t="s">
        <v>54</v>
      </c>
    </row>
    <row r="6" spans="1:8">
      <c r="A6" s="182" t="s">
        <v>48</v>
      </c>
      <c r="B6" s="182" t="s">
        <v>115</v>
      </c>
      <c r="F6" s="182" t="s">
        <v>64</v>
      </c>
      <c r="G6" s="182" t="s">
        <v>87</v>
      </c>
      <c r="H6" s="182" t="s">
        <v>56</v>
      </c>
    </row>
    <row r="7" spans="1:8">
      <c r="A7" s="182" t="s">
        <v>75</v>
      </c>
      <c r="B7" s="182" t="s">
        <v>116</v>
      </c>
      <c r="F7" s="182" t="s">
        <v>34</v>
      </c>
      <c r="G7" s="182" t="s">
        <v>89</v>
      </c>
      <c r="H7" s="182" t="s">
        <v>57</v>
      </c>
    </row>
    <row r="8" spans="1:8">
      <c r="A8" s="182" t="s">
        <v>114</v>
      </c>
      <c r="B8" s="182" t="s">
        <v>127</v>
      </c>
      <c r="F8" s="182" t="s">
        <v>93</v>
      </c>
      <c r="G8" s="182" t="s">
        <v>279</v>
      </c>
      <c r="H8" s="182" t="s">
        <v>94</v>
      </c>
    </row>
    <row r="9" spans="1:8">
      <c r="A9" s="182"/>
      <c r="G9" s="182" t="s">
        <v>39</v>
      </c>
      <c r="H9" s="184" t="s">
        <v>130</v>
      </c>
    </row>
    <row r="10" spans="1:8">
      <c r="A10" s="182"/>
      <c r="G10" s="182" t="s">
        <v>49</v>
      </c>
      <c r="H10" s="182" t="s">
        <v>98</v>
      </c>
    </row>
    <row r="11" spans="1:8">
      <c r="A11" s="182"/>
      <c r="G11" s="182" t="s">
        <v>37</v>
      </c>
      <c r="H11" s="182" t="s">
        <v>99</v>
      </c>
    </row>
    <row r="12" spans="1:8">
      <c r="A12" s="182"/>
      <c r="G12" s="182" t="s">
        <v>40</v>
      </c>
      <c r="H12" s="182" t="s">
        <v>119</v>
      </c>
    </row>
    <row r="13" spans="1:8">
      <c r="A13" s="182"/>
      <c r="G13" s="182" t="s">
        <v>129</v>
      </c>
      <c r="H13" s="182" t="s">
        <v>100</v>
      </c>
    </row>
    <row r="14" spans="1:8">
      <c r="A14" s="182"/>
      <c r="G14" s="182" t="s">
        <v>81</v>
      </c>
      <c r="H14" s="182" t="s">
        <v>88</v>
      </c>
    </row>
    <row r="15" spans="1:8">
      <c r="G15" s="182" t="s">
        <v>82</v>
      </c>
      <c r="H15" s="182" t="s">
        <v>58</v>
      </c>
    </row>
    <row r="16" spans="1:8">
      <c r="G16" s="182" t="s">
        <v>51</v>
      </c>
      <c r="H16" s="182" t="s">
        <v>120</v>
      </c>
    </row>
    <row r="17" spans="7:8">
      <c r="G17" s="182" t="s">
        <v>102</v>
      </c>
      <c r="H17" s="182" t="s">
        <v>128</v>
      </c>
    </row>
    <row r="18" spans="7:8">
      <c r="G18" s="182" t="s">
        <v>83</v>
      </c>
      <c r="H18" s="182" t="s">
        <v>121</v>
      </c>
    </row>
    <row r="19" spans="7:8">
      <c r="G19" s="182" t="s">
        <v>113</v>
      </c>
      <c r="H19" s="182" t="s">
        <v>122</v>
      </c>
    </row>
    <row r="20" spans="7:8">
      <c r="G20" s="182" t="s">
        <v>52</v>
      </c>
      <c r="H20" s="184" t="s">
        <v>59</v>
      </c>
    </row>
    <row r="21" spans="7:8">
      <c r="G21" s="182" t="s">
        <v>53</v>
      </c>
      <c r="H21" s="182" t="s">
        <v>72</v>
      </c>
    </row>
    <row r="22" spans="7:8">
      <c r="G22" s="182" t="s">
        <v>30</v>
      </c>
      <c r="H22" s="182" t="s">
        <v>60</v>
      </c>
    </row>
    <row r="23" spans="7:8">
      <c r="G23" s="182" t="s">
        <v>84</v>
      </c>
      <c r="H23" s="182" t="s">
        <v>65</v>
      </c>
    </row>
    <row r="24" spans="7:8">
      <c r="H24" s="182" t="s">
        <v>123</v>
      </c>
    </row>
    <row r="25" spans="7:8">
      <c r="H25" s="182" t="s">
        <v>124</v>
      </c>
    </row>
  </sheetData>
  <phoneticPr fontId="0" type="noConversion"/>
  <pageMargins left="0.75" right="0.75" top="1" bottom="1" header="0.5" footer="0.5"/>
  <pageSetup orientation="portrait" verticalDpi="0" r:id="rId1"/>
  <headerFooter alignWithMargins="0"/>
  <customProperties>
    <customPr name="DVSECTIONID" r:id="rId2"/>
  </customProperties>
</worksheet>
</file>

<file path=xl/worksheets/sheet7.xml><?xml version="1.0" encoding="utf-8"?>
<worksheet xmlns="http://schemas.openxmlformats.org/spreadsheetml/2006/main" xmlns:r="http://schemas.openxmlformats.org/officeDocument/2006/relationships">
  <sheetPr codeName="Sheet7">
    <pageSetUpPr fitToPage="1"/>
  </sheetPr>
  <dimension ref="A1:Q131"/>
  <sheetViews>
    <sheetView workbookViewId="0">
      <pane xSplit="1" ySplit="6" topLeftCell="B7" activePane="bottomRight" state="frozen"/>
      <selection pane="topRight" activeCell="B1" sqref="B1"/>
      <selection pane="bottomLeft" activeCell="A2" sqref="A2"/>
      <selection pane="bottomRight" activeCell="D7" sqref="D7"/>
    </sheetView>
  </sheetViews>
  <sheetFormatPr defaultRowHeight="13.2"/>
  <cols>
    <col min="1" max="1" width="8.88671875" style="30" customWidth="1"/>
    <col min="2" max="2" width="13.33203125" style="30" customWidth="1"/>
    <col min="3" max="3" width="8.88671875" style="64" customWidth="1"/>
    <col min="4" max="4" width="8.33203125" style="64" customWidth="1"/>
    <col min="5" max="5" width="9.5546875" style="64" customWidth="1"/>
    <col min="6" max="6" width="9" style="31" customWidth="1"/>
    <col min="7" max="9" width="6" customWidth="1"/>
    <col min="10" max="10" width="6" style="9" customWidth="1"/>
    <col min="11" max="11" width="9.6640625" customWidth="1"/>
    <col min="12" max="12" width="9.5546875" customWidth="1"/>
    <col min="13" max="13" width="4.6640625" customWidth="1"/>
    <col min="14" max="14" width="5.109375" customWidth="1"/>
    <col min="15" max="15" width="7.6640625" style="9" customWidth="1"/>
    <col min="16" max="16" width="11" style="9" customWidth="1"/>
    <col min="17" max="17" width="9.109375" customWidth="1"/>
  </cols>
  <sheetData>
    <row r="1" spans="1:17">
      <c r="A1" s="30" t="s">
        <v>289</v>
      </c>
      <c r="F1" s="196"/>
      <c r="J1" s="143"/>
      <c r="O1" s="143"/>
      <c r="P1" s="143"/>
    </row>
    <row r="2" spans="1:17">
      <c r="A2" s="30" t="s">
        <v>290</v>
      </c>
      <c r="F2" s="196"/>
      <c r="J2" s="143"/>
      <c r="O2" s="143"/>
      <c r="P2" s="143"/>
    </row>
    <row r="3" spans="1:17">
      <c r="A3" s="30" t="s">
        <v>291</v>
      </c>
      <c r="F3" s="196"/>
      <c r="J3" s="143"/>
      <c r="O3" s="143"/>
      <c r="P3" s="143"/>
    </row>
    <row r="4" spans="1:17">
      <c r="A4" s="30" t="s">
        <v>292</v>
      </c>
      <c r="F4" s="196"/>
      <c r="J4" s="143"/>
      <c r="O4" s="143"/>
      <c r="P4" s="143"/>
    </row>
    <row r="5" spans="1:17">
      <c r="A5" s="30" t="s">
        <v>293</v>
      </c>
      <c r="F5" s="196"/>
      <c r="J5" s="143"/>
      <c r="O5" s="143"/>
      <c r="P5" s="143"/>
    </row>
    <row r="6" spans="1:17" s="3" customFormat="1">
      <c r="B6" s="1" t="s">
        <v>14</v>
      </c>
      <c r="C6" s="1" t="s">
        <v>248</v>
      </c>
      <c r="D6" s="61" t="s">
        <v>138</v>
      </c>
      <c r="E6" s="61" t="s">
        <v>294</v>
      </c>
      <c r="F6" s="61" t="s">
        <v>10</v>
      </c>
      <c r="G6" s="2" t="s">
        <v>15</v>
      </c>
      <c r="H6" s="3" t="s">
        <v>16</v>
      </c>
      <c r="I6" s="3" t="s">
        <v>17</v>
      </c>
      <c r="J6" s="3" t="s">
        <v>18</v>
      </c>
      <c r="K6" s="32" t="s">
        <v>19</v>
      </c>
      <c r="L6" s="3" t="s">
        <v>20</v>
      </c>
      <c r="M6" s="3" t="s">
        <v>21</v>
      </c>
      <c r="N6" s="3" t="s">
        <v>22</v>
      </c>
      <c r="O6" s="3" t="s">
        <v>23</v>
      </c>
      <c r="P6" s="32" t="s">
        <v>24</v>
      </c>
      <c r="Q6" s="32" t="s">
        <v>25</v>
      </c>
    </row>
    <row r="7" spans="1:17">
      <c r="A7">
        <v>1</v>
      </c>
      <c r="B7" s="4" t="s">
        <v>26</v>
      </c>
      <c r="C7" s="4"/>
      <c r="D7" s="23"/>
      <c r="E7" s="201"/>
      <c r="F7" s="207"/>
      <c r="H7" s="6">
        <v>2</v>
      </c>
      <c r="I7" s="6">
        <v>2</v>
      </c>
      <c r="J7" s="6">
        <v>2</v>
      </c>
      <c r="K7" s="7">
        <v>2</v>
      </c>
      <c r="L7" s="8">
        <v>3</v>
      </c>
      <c r="M7">
        <v>2</v>
      </c>
      <c r="N7">
        <v>1</v>
      </c>
      <c r="O7">
        <v>0</v>
      </c>
      <c r="P7" s="9">
        <v>0</v>
      </c>
      <c r="Q7" s="9" t="s">
        <v>27</v>
      </c>
    </row>
    <row r="8" spans="1:17">
      <c r="A8">
        <v>2</v>
      </c>
      <c r="B8" s="4" t="s">
        <v>28</v>
      </c>
      <c r="C8" s="4"/>
      <c r="D8" s="23"/>
      <c r="E8" s="201"/>
      <c r="F8" s="207"/>
      <c r="H8" s="6">
        <v>2</v>
      </c>
      <c r="I8" s="6">
        <v>2</v>
      </c>
      <c r="J8" s="6">
        <v>1</v>
      </c>
      <c r="K8" s="7">
        <v>0</v>
      </c>
      <c r="L8">
        <v>2</v>
      </c>
      <c r="M8">
        <v>2</v>
      </c>
      <c r="N8">
        <v>1</v>
      </c>
      <c r="O8">
        <v>0</v>
      </c>
      <c r="P8" s="9">
        <v>0</v>
      </c>
      <c r="Q8" s="9" t="s">
        <v>29</v>
      </c>
    </row>
    <row r="9" spans="1:17">
      <c r="A9">
        <v>3</v>
      </c>
      <c r="B9" s="4" t="s">
        <v>30</v>
      </c>
      <c r="C9" s="4"/>
      <c r="D9" s="23"/>
      <c r="E9" s="201"/>
      <c r="F9" s="208"/>
      <c r="G9" s="202"/>
      <c r="H9">
        <v>1</v>
      </c>
      <c r="I9">
        <v>2</v>
      </c>
      <c r="J9">
        <v>3</v>
      </c>
      <c r="K9" s="10">
        <v>4</v>
      </c>
      <c r="L9">
        <v>1</v>
      </c>
      <c r="M9" s="8">
        <v>4</v>
      </c>
      <c r="N9">
        <v>0</v>
      </c>
      <c r="O9">
        <v>0</v>
      </c>
      <c r="P9" s="9">
        <v>0</v>
      </c>
      <c r="Q9" s="9" t="s">
        <v>29</v>
      </c>
    </row>
    <row r="10" spans="1:17">
      <c r="A10">
        <v>4</v>
      </c>
      <c r="B10" s="4" t="s">
        <v>9</v>
      </c>
      <c r="C10" s="4"/>
      <c r="D10" s="23"/>
      <c r="E10" s="201"/>
      <c r="F10" s="207"/>
      <c r="H10">
        <v>2</v>
      </c>
      <c r="I10">
        <v>2</v>
      </c>
      <c r="J10">
        <v>2</v>
      </c>
      <c r="K10" s="9">
        <v>1</v>
      </c>
      <c r="L10">
        <v>0</v>
      </c>
      <c r="M10">
        <v>1</v>
      </c>
      <c r="N10">
        <v>0</v>
      </c>
      <c r="O10" s="8">
        <v>4</v>
      </c>
      <c r="P10" s="9">
        <v>0</v>
      </c>
      <c r="Q10" s="9" t="s">
        <v>29</v>
      </c>
    </row>
    <row r="11" spans="1:17">
      <c r="A11">
        <v>5</v>
      </c>
      <c r="B11" s="4" t="s">
        <v>31</v>
      </c>
      <c r="C11" s="4"/>
      <c r="D11" s="203"/>
      <c r="E11" s="204"/>
      <c r="F11" s="207"/>
      <c r="H11" s="6">
        <v>2</v>
      </c>
      <c r="I11" s="6">
        <v>2</v>
      </c>
      <c r="J11" s="6">
        <v>1</v>
      </c>
      <c r="K11" s="7">
        <v>1</v>
      </c>
      <c r="L11">
        <v>0</v>
      </c>
      <c r="M11" s="8">
        <v>4</v>
      </c>
      <c r="N11">
        <v>1</v>
      </c>
      <c r="O11">
        <v>1</v>
      </c>
      <c r="P11" s="9">
        <v>0</v>
      </c>
      <c r="Q11" s="9" t="s">
        <v>29</v>
      </c>
    </row>
    <row r="12" spans="1:17">
      <c r="A12">
        <v>6</v>
      </c>
      <c r="B12" s="11" t="s">
        <v>32</v>
      </c>
      <c r="C12" s="11"/>
      <c r="D12" s="203"/>
      <c r="E12" s="204"/>
      <c r="F12" s="207"/>
      <c r="H12" s="6">
        <v>1</v>
      </c>
      <c r="I12" s="6">
        <v>2</v>
      </c>
      <c r="J12" s="15">
        <v>3</v>
      </c>
      <c r="K12" s="7">
        <v>2</v>
      </c>
      <c r="L12" s="16">
        <v>0</v>
      </c>
      <c r="M12" s="16">
        <v>2</v>
      </c>
      <c r="N12" s="16">
        <v>2</v>
      </c>
      <c r="O12" s="17">
        <v>3</v>
      </c>
      <c r="P12" s="18">
        <v>0</v>
      </c>
      <c r="Q12" s="9" t="s">
        <v>33</v>
      </c>
    </row>
    <row r="13" spans="1:17">
      <c r="A13">
        <v>7</v>
      </c>
      <c r="B13" s="11" t="s">
        <v>34</v>
      </c>
      <c r="C13" s="11"/>
      <c r="D13" s="23"/>
      <c r="E13" s="201"/>
      <c r="F13" s="208"/>
      <c r="G13" s="202"/>
      <c r="H13" s="6">
        <v>1</v>
      </c>
      <c r="I13" s="6">
        <v>1</v>
      </c>
      <c r="J13" s="15">
        <v>3</v>
      </c>
      <c r="K13" s="7">
        <v>2</v>
      </c>
      <c r="L13">
        <v>0</v>
      </c>
      <c r="M13" s="8">
        <v>3</v>
      </c>
      <c r="N13">
        <v>1</v>
      </c>
      <c r="O13">
        <v>1</v>
      </c>
      <c r="P13" s="9">
        <v>0</v>
      </c>
      <c r="Q13" s="9" t="s">
        <v>29</v>
      </c>
    </row>
    <row r="14" spans="1:17">
      <c r="A14">
        <v>8</v>
      </c>
      <c r="B14" s="11" t="s">
        <v>35</v>
      </c>
      <c r="C14" s="11"/>
      <c r="D14" s="203"/>
      <c r="E14" s="204"/>
      <c r="F14" s="207"/>
      <c r="H14" s="6">
        <v>2</v>
      </c>
      <c r="I14" s="6">
        <v>2</v>
      </c>
      <c r="J14" s="6">
        <v>0</v>
      </c>
      <c r="K14" s="7">
        <v>0</v>
      </c>
      <c r="L14">
        <v>0</v>
      </c>
      <c r="M14">
        <v>1</v>
      </c>
      <c r="N14" s="8">
        <v>4</v>
      </c>
      <c r="O14">
        <v>1</v>
      </c>
      <c r="P14" s="9">
        <v>0</v>
      </c>
      <c r="Q14" s="9" t="s">
        <v>36</v>
      </c>
    </row>
    <row r="15" spans="1:17">
      <c r="A15">
        <v>9</v>
      </c>
      <c r="B15" s="11" t="s">
        <v>37</v>
      </c>
      <c r="C15" s="11"/>
      <c r="D15" s="203"/>
      <c r="E15" s="204"/>
      <c r="F15" s="207"/>
      <c r="H15" s="6">
        <v>0</v>
      </c>
      <c r="I15" s="6">
        <v>2</v>
      </c>
      <c r="J15" s="6">
        <v>2</v>
      </c>
      <c r="K15" s="19">
        <v>3</v>
      </c>
      <c r="L15">
        <v>0</v>
      </c>
      <c r="M15" s="8">
        <v>3</v>
      </c>
      <c r="N15">
        <v>0</v>
      </c>
      <c r="O15">
        <v>0</v>
      </c>
      <c r="P15" s="9">
        <v>0</v>
      </c>
      <c r="Q15" s="9" t="s">
        <v>36</v>
      </c>
    </row>
    <row r="16" spans="1:17">
      <c r="A16">
        <v>10</v>
      </c>
      <c r="B16" s="11" t="s">
        <v>38</v>
      </c>
      <c r="C16" s="11"/>
      <c r="D16" s="23"/>
      <c r="E16" s="201"/>
      <c r="F16" s="208"/>
      <c r="G16" s="202"/>
      <c r="H16">
        <v>0</v>
      </c>
      <c r="I16">
        <v>2</v>
      </c>
      <c r="J16">
        <v>2</v>
      </c>
      <c r="K16" s="9">
        <v>0</v>
      </c>
      <c r="L16">
        <v>1</v>
      </c>
      <c r="M16">
        <v>1</v>
      </c>
      <c r="N16" s="21">
        <v>2</v>
      </c>
      <c r="O16" s="8">
        <v>3</v>
      </c>
      <c r="P16" s="9">
        <v>1</v>
      </c>
      <c r="Q16" s="9" t="s">
        <v>36</v>
      </c>
    </row>
    <row r="17" spans="1:17">
      <c r="A17">
        <v>11</v>
      </c>
      <c r="B17" s="11" t="s">
        <v>39</v>
      </c>
      <c r="C17" s="11"/>
      <c r="D17" s="23"/>
      <c r="E17" s="201"/>
      <c r="F17" s="207"/>
      <c r="H17" s="20">
        <v>1</v>
      </c>
      <c r="I17" s="6">
        <v>1</v>
      </c>
      <c r="J17" s="6">
        <v>2</v>
      </c>
      <c r="K17" s="19">
        <v>4</v>
      </c>
      <c r="L17">
        <v>1</v>
      </c>
      <c r="M17" s="8">
        <v>4</v>
      </c>
      <c r="N17">
        <v>1</v>
      </c>
      <c r="O17">
        <v>0</v>
      </c>
      <c r="P17" s="9">
        <v>0</v>
      </c>
      <c r="Q17" s="9" t="s">
        <v>33</v>
      </c>
    </row>
    <row r="18" spans="1:17">
      <c r="A18">
        <v>12</v>
      </c>
      <c r="B18" s="11" t="s">
        <v>40</v>
      </c>
      <c r="C18" s="11"/>
      <c r="D18" s="203"/>
      <c r="E18" s="204"/>
      <c r="F18" s="207"/>
      <c r="H18">
        <v>1</v>
      </c>
      <c r="I18">
        <v>1</v>
      </c>
      <c r="J18">
        <v>1</v>
      </c>
      <c r="K18" s="10">
        <v>5</v>
      </c>
      <c r="L18">
        <v>1</v>
      </c>
      <c r="M18" s="8">
        <v>4</v>
      </c>
      <c r="N18">
        <v>1</v>
      </c>
      <c r="O18">
        <v>0</v>
      </c>
      <c r="P18" s="9">
        <v>0</v>
      </c>
      <c r="Q18" s="9" t="s">
        <v>33</v>
      </c>
    </row>
    <row r="19" spans="1:17">
      <c r="A19">
        <v>13</v>
      </c>
      <c r="B19" s="11" t="s">
        <v>41</v>
      </c>
      <c r="C19" s="11"/>
      <c r="D19" s="203"/>
      <c r="E19" s="204"/>
      <c r="F19" s="207"/>
      <c r="H19" s="21">
        <v>2</v>
      </c>
      <c r="I19" s="21">
        <v>2</v>
      </c>
      <c r="J19" s="21">
        <v>2</v>
      </c>
      <c r="K19" s="22">
        <v>2</v>
      </c>
      <c r="L19">
        <v>2</v>
      </c>
      <c r="M19">
        <v>2</v>
      </c>
      <c r="N19">
        <v>2</v>
      </c>
      <c r="O19">
        <v>2</v>
      </c>
      <c r="P19" s="9">
        <v>1</v>
      </c>
      <c r="Q19" s="9" t="s">
        <v>27</v>
      </c>
    </row>
    <row r="20" spans="1:17">
      <c r="A20">
        <v>14</v>
      </c>
      <c r="B20" s="11" t="s">
        <v>42</v>
      </c>
      <c r="C20" s="11"/>
      <c r="D20" s="203"/>
      <c r="E20" s="204"/>
      <c r="F20" s="207"/>
      <c r="H20" s="21">
        <v>2</v>
      </c>
      <c r="I20" s="21">
        <v>2</v>
      </c>
      <c r="J20" s="21">
        <v>2</v>
      </c>
      <c r="K20" s="22">
        <v>2</v>
      </c>
      <c r="L20">
        <v>2</v>
      </c>
      <c r="M20">
        <v>2</v>
      </c>
      <c r="N20">
        <v>2</v>
      </c>
      <c r="O20">
        <v>2</v>
      </c>
      <c r="P20" s="9">
        <v>1</v>
      </c>
      <c r="Q20" s="9" t="s">
        <v>27</v>
      </c>
    </row>
    <row r="21" spans="1:17">
      <c r="A21">
        <v>15</v>
      </c>
      <c r="B21" s="11" t="s">
        <v>43</v>
      </c>
      <c r="C21" s="11"/>
      <c r="D21" s="23"/>
      <c r="E21" s="201"/>
      <c r="F21" s="208"/>
      <c r="G21" s="202"/>
      <c r="H21" s="21">
        <v>2</v>
      </c>
      <c r="I21" s="21">
        <v>2</v>
      </c>
      <c r="J21" s="21">
        <v>2</v>
      </c>
      <c r="K21" s="22">
        <v>2</v>
      </c>
      <c r="L21">
        <v>2</v>
      </c>
      <c r="M21">
        <v>2</v>
      </c>
      <c r="N21">
        <v>2</v>
      </c>
      <c r="O21">
        <v>2</v>
      </c>
      <c r="P21" s="9">
        <v>1</v>
      </c>
      <c r="Q21" s="9" t="s">
        <v>33</v>
      </c>
    </row>
    <row r="22" spans="1:17">
      <c r="A22">
        <v>16</v>
      </c>
      <c r="B22" s="11" t="s">
        <v>44</v>
      </c>
      <c r="C22" s="11"/>
      <c r="D22" s="23"/>
      <c r="E22" s="201"/>
      <c r="F22" s="208"/>
      <c r="H22" s="8">
        <v>3</v>
      </c>
      <c r="I22">
        <v>2</v>
      </c>
      <c r="J22">
        <v>1</v>
      </c>
      <c r="K22" s="9">
        <v>1</v>
      </c>
      <c r="L22">
        <v>0</v>
      </c>
      <c r="M22">
        <v>2</v>
      </c>
      <c r="N22">
        <v>1</v>
      </c>
      <c r="O22" s="8">
        <v>3</v>
      </c>
      <c r="P22" s="9">
        <v>0</v>
      </c>
      <c r="Q22" s="9" t="s">
        <v>27</v>
      </c>
    </row>
    <row r="23" spans="1:17">
      <c r="A23">
        <v>17</v>
      </c>
      <c r="B23" s="11" t="s">
        <v>45</v>
      </c>
      <c r="C23" s="11"/>
      <c r="D23" s="203"/>
      <c r="E23" s="204"/>
      <c r="F23" s="207"/>
      <c r="H23" s="6">
        <v>2</v>
      </c>
      <c r="I23" s="6">
        <v>2</v>
      </c>
      <c r="J23" s="15">
        <v>3</v>
      </c>
      <c r="K23" s="26">
        <v>2</v>
      </c>
      <c r="L23">
        <v>0</v>
      </c>
      <c r="M23" s="21">
        <v>1</v>
      </c>
      <c r="N23">
        <v>0</v>
      </c>
      <c r="O23" s="8">
        <v>4</v>
      </c>
      <c r="P23" s="9">
        <v>0</v>
      </c>
      <c r="Q23" s="9" t="s">
        <v>33</v>
      </c>
    </row>
    <row r="24" spans="1:17">
      <c r="A24">
        <v>18</v>
      </c>
      <c r="B24" s="11" t="s">
        <v>46</v>
      </c>
      <c r="C24" s="11"/>
      <c r="D24" s="23"/>
      <c r="E24" s="201"/>
      <c r="F24" s="208"/>
      <c r="H24">
        <v>1</v>
      </c>
      <c r="I24">
        <v>1</v>
      </c>
      <c r="J24" s="8">
        <v>3</v>
      </c>
      <c r="K24" s="9">
        <v>2</v>
      </c>
      <c r="L24">
        <v>1</v>
      </c>
      <c r="M24" s="8">
        <v>4</v>
      </c>
      <c r="N24">
        <v>1</v>
      </c>
      <c r="O24">
        <v>0</v>
      </c>
      <c r="P24" s="9">
        <v>0</v>
      </c>
      <c r="Q24" s="9" t="s">
        <v>33</v>
      </c>
    </row>
    <row r="25" spans="1:17">
      <c r="A25">
        <v>19</v>
      </c>
      <c r="B25" s="11" t="s">
        <v>47</v>
      </c>
      <c r="C25" s="11"/>
      <c r="D25" s="23"/>
      <c r="E25" s="201"/>
      <c r="F25" s="208"/>
      <c r="G25" s="202"/>
      <c r="H25" s="8">
        <v>3</v>
      </c>
      <c r="I25" s="21">
        <v>2</v>
      </c>
      <c r="J25" s="21">
        <v>2</v>
      </c>
      <c r="K25" s="22">
        <v>1</v>
      </c>
      <c r="L25">
        <v>1</v>
      </c>
      <c r="M25" s="8">
        <v>3</v>
      </c>
      <c r="N25">
        <v>2</v>
      </c>
      <c r="O25">
        <v>0</v>
      </c>
      <c r="P25" s="9">
        <v>0</v>
      </c>
      <c r="Q25" s="9" t="s">
        <v>36</v>
      </c>
    </row>
    <row r="26" spans="1:17">
      <c r="A26">
        <v>20</v>
      </c>
      <c r="B26" s="11" t="s">
        <v>48</v>
      </c>
      <c r="C26" s="11"/>
      <c r="D26" s="203"/>
      <c r="E26" s="204"/>
      <c r="F26" s="207"/>
      <c r="H26" s="17">
        <v>5</v>
      </c>
      <c r="I26" s="16">
        <v>0</v>
      </c>
      <c r="J26" s="16">
        <v>0</v>
      </c>
      <c r="K26" s="18">
        <v>0</v>
      </c>
      <c r="L26">
        <v>0</v>
      </c>
      <c r="M26">
        <v>1</v>
      </c>
      <c r="N26">
        <v>0</v>
      </c>
      <c r="O26" s="8">
        <v>4</v>
      </c>
      <c r="P26" s="9">
        <v>0</v>
      </c>
      <c r="Q26" s="9"/>
    </row>
    <row r="27" spans="1:17">
      <c r="A27">
        <v>21</v>
      </c>
      <c r="B27" s="11" t="s">
        <v>49</v>
      </c>
      <c r="C27" s="11"/>
      <c r="D27" s="203"/>
      <c r="E27" s="204"/>
      <c r="F27" s="207"/>
      <c r="H27">
        <v>0</v>
      </c>
      <c r="I27">
        <v>0</v>
      </c>
      <c r="J27">
        <v>1</v>
      </c>
      <c r="K27" s="10">
        <v>5</v>
      </c>
      <c r="L27">
        <v>2</v>
      </c>
      <c r="M27" s="8">
        <v>3</v>
      </c>
      <c r="N27">
        <v>1</v>
      </c>
      <c r="O27">
        <v>1</v>
      </c>
      <c r="P27" s="9">
        <v>1</v>
      </c>
      <c r="Q27" s="9" t="s">
        <v>33</v>
      </c>
    </row>
    <row r="28" spans="1:17">
      <c r="A28">
        <v>22</v>
      </c>
      <c r="B28" s="11" t="s">
        <v>50</v>
      </c>
      <c r="C28" s="11"/>
      <c r="D28" s="203"/>
      <c r="E28" s="204"/>
      <c r="F28" s="207"/>
      <c r="H28" s="16">
        <v>2</v>
      </c>
      <c r="I28" s="16">
        <v>2</v>
      </c>
      <c r="J28" s="16">
        <v>2</v>
      </c>
      <c r="K28" s="24">
        <v>3</v>
      </c>
      <c r="L28">
        <v>0</v>
      </c>
      <c r="M28">
        <v>1</v>
      </c>
      <c r="N28" s="21">
        <v>0</v>
      </c>
      <c r="O28" s="8">
        <v>3</v>
      </c>
      <c r="P28" s="9">
        <v>0</v>
      </c>
      <c r="Q28" s="9" t="s">
        <v>36</v>
      </c>
    </row>
    <row r="29" spans="1:17">
      <c r="A29">
        <v>23</v>
      </c>
      <c r="B29" s="11" t="s">
        <v>51</v>
      </c>
      <c r="C29" s="11"/>
      <c r="D29" s="203"/>
      <c r="E29" s="204"/>
      <c r="F29" s="207"/>
      <c r="H29">
        <v>1</v>
      </c>
      <c r="I29">
        <v>1</v>
      </c>
      <c r="J29">
        <v>2</v>
      </c>
      <c r="K29" s="10">
        <v>3</v>
      </c>
      <c r="L29">
        <v>1</v>
      </c>
      <c r="M29" s="8">
        <v>4</v>
      </c>
      <c r="N29">
        <v>1</v>
      </c>
      <c r="O29">
        <v>0</v>
      </c>
      <c r="P29" s="9">
        <v>0</v>
      </c>
      <c r="Q29" s="9" t="s">
        <v>33</v>
      </c>
    </row>
    <row r="30" spans="1:17">
      <c r="A30">
        <v>24</v>
      </c>
      <c r="B30" s="11" t="s">
        <v>52</v>
      </c>
      <c r="C30" s="11"/>
      <c r="D30" s="203"/>
      <c r="E30" s="204"/>
      <c r="F30" s="207"/>
      <c r="H30" s="6">
        <v>0</v>
      </c>
      <c r="I30" s="6">
        <v>0</v>
      </c>
      <c r="J30" s="6">
        <v>2</v>
      </c>
      <c r="K30" s="19">
        <v>4</v>
      </c>
      <c r="L30">
        <v>1</v>
      </c>
      <c r="M30" s="8">
        <v>4</v>
      </c>
      <c r="N30">
        <v>1</v>
      </c>
      <c r="O30">
        <v>0</v>
      </c>
      <c r="P30" s="9">
        <v>0</v>
      </c>
      <c r="Q30" s="9" t="s">
        <v>33</v>
      </c>
    </row>
    <row r="31" spans="1:17">
      <c r="A31">
        <v>25</v>
      </c>
      <c r="B31" s="11" t="s">
        <v>53</v>
      </c>
      <c r="C31" s="11"/>
      <c r="D31" s="23"/>
      <c r="E31" s="201"/>
      <c r="F31" s="208"/>
      <c r="H31">
        <v>0</v>
      </c>
      <c r="I31">
        <v>1</v>
      </c>
      <c r="J31">
        <v>1</v>
      </c>
      <c r="K31" s="10">
        <v>4</v>
      </c>
      <c r="L31">
        <v>1</v>
      </c>
      <c r="M31" s="8">
        <v>4</v>
      </c>
      <c r="N31">
        <v>1</v>
      </c>
      <c r="O31">
        <v>0</v>
      </c>
      <c r="P31" s="9">
        <v>0</v>
      </c>
      <c r="Q31" s="9" t="s">
        <v>36</v>
      </c>
    </row>
    <row r="32" spans="1:17">
      <c r="A32">
        <v>26</v>
      </c>
      <c r="B32" s="11" t="s">
        <v>54</v>
      </c>
      <c r="C32" s="11"/>
      <c r="D32" s="203"/>
      <c r="E32" s="204"/>
      <c r="F32" s="207"/>
      <c r="H32" s="20">
        <v>1</v>
      </c>
      <c r="I32" s="15">
        <v>3</v>
      </c>
      <c r="J32" s="6">
        <v>1</v>
      </c>
      <c r="K32" s="7">
        <v>0</v>
      </c>
      <c r="L32">
        <v>0</v>
      </c>
      <c r="M32">
        <v>1</v>
      </c>
      <c r="N32" s="8">
        <v>3</v>
      </c>
      <c r="O32" s="21">
        <v>1</v>
      </c>
      <c r="P32" s="9">
        <v>0</v>
      </c>
      <c r="Q32" s="9" t="s">
        <v>36</v>
      </c>
    </row>
    <row r="33" spans="1:17">
      <c r="A33">
        <v>27</v>
      </c>
      <c r="B33" s="11" t="s">
        <v>55</v>
      </c>
      <c r="C33" s="11"/>
      <c r="D33" s="203"/>
      <c r="E33" s="204"/>
      <c r="F33" s="207"/>
      <c r="H33" s="6">
        <v>2</v>
      </c>
      <c r="I33" s="15">
        <v>3</v>
      </c>
      <c r="J33" s="6">
        <v>1</v>
      </c>
      <c r="K33" s="7">
        <v>0</v>
      </c>
      <c r="L33">
        <v>1</v>
      </c>
      <c r="M33" s="8">
        <v>4</v>
      </c>
      <c r="N33">
        <v>1</v>
      </c>
      <c r="O33">
        <v>0</v>
      </c>
      <c r="P33" s="9">
        <v>0</v>
      </c>
      <c r="Q33" s="9" t="s">
        <v>36</v>
      </c>
    </row>
    <row r="34" spans="1:17">
      <c r="A34">
        <v>28</v>
      </c>
      <c r="B34" s="11" t="s">
        <v>56</v>
      </c>
      <c r="C34" s="11"/>
      <c r="D34" s="203"/>
      <c r="E34" s="204"/>
      <c r="F34" s="207"/>
      <c r="H34" s="15">
        <v>3</v>
      </c>
      <c r="I34" s="6">
        <v>2</v>
      </c>
      <c r="J34" s="6">
        <v>1</v>
      </c>
      <c r="K34" s="7">
        <v>0</v>
      </c>
      <c r="L34">
        <v>0</v>
      </c>
      <c r="M34">
        <v>1</v>
      </c>
      <c r="N34" s="8">
        <v>4</v>
      </c>
      <c r="O34">
        <v>0</v>
      </c>
      <c r="P34" s="9">
        <v>0</v>
      </c>
      <c r="Q34" s="9" t="s">
        <v>36</v>
      </c>
    </row>
    <row r="35" spans="1:17">
      <c r="A35">
        <v>29</v>
      </c>
      <c r="B35" s="11" t="s">
        <v>57</v>
      </c>
      <c r="C35" s="11"/>
      <c r="D35" s="23"/>
      <c r="E35" s="201"/>
      <c r="F35" s="207"/>
      <c r="H35">
        <v>1</v>
      </c>
      <c r="I35">
        <v>2</v>
      </c>
      <c r="J35" s="8">
        <v>3</v>
      </c>
      <c r="K35" s="9">
        <v>1</v>
      </c>
      <c r="L35">
        <v>0</v>
      </c>
      <c r="M35">
        <v>1</v>
      </c>
      <c r="N35" s="8">
        <v>4</v>
      </c>
      <c r="O35">
        <v>1</v>
      </c>
      <c r="P35" s="9">
        <v>0</v>
      </c>
      <c r="Q35" s="9" t="s">
        <v>27</v>
      </c>
    </row>
    <row r="36" spans="1:17">
      <c r="A36">
        <v>30</v>
      </c>
      <c r="B36" s="11" t="s">
        <v>58</v>
      </c>
      <c r="C36" s="11"/>
      <c r="D36" s="203"/>
      <c r="E36" s="204"/>
      <c r="F36" s="207"/>
      <c r="H36" s="15">
        <v>4</v>
      </c>
      <c r="I36" s="20">
        <v>1</v>
      </c>
      <c r="J36" s="20">
        <v>0</v>
      </c>
      <c r="K36" s="26">
        <v>0</v>
      </c>
      <c r="L36">
        <v>0</v>
      </c>
      <c r="M36">
        <v>1</v>
      </c>
      <c r="N36" s="8">
        <v>4</v>
      </c>
      <c r="O36">
        <v>1</v>
      </c>
      <c r="P36" s="9">
        <v>0</v>
      </c>
      <c r="Q36" s="9" t="s">
        <v>36</v>
      </c>
    </row>
    <row r="37" spans="1:17">
      <c r="A37">
        <v>31</v>
      </c>
      <c r="B37" s="27" t="s">
        <v>59</v>
      </c>
      <c r="C37" s="27"/>
      <c r="D37" s="203"/>
      <c r="E37" s="204"/>
      <c r="F37" s="207"/>
      <c r="H37" s="20">
        <v>2</v>
      </c>
      <c r="I37" s="15">
        <v>3</v>
      </c>
      <c r="J37" s="20">
        <v>1</v>
      </c>
      <c r="K37" s="26">
        <v>1</v>
      </c>
      <c r="L37">
        <v>0</v>
      </c>
      <c r="M37">
        <v>2</v>
      </c>
      <c r="N37" s="8">
        <v>3</v>
      </c>
      <c r="O37">
        <v>0</v>
      </c>
      <c r="P37" s="9">
        <v>0</v>
      </c>
      <c r="Q37" s="9" t="s">
        <v>36</v>
      </c>
    </row>
    <row r="38" spans="1:17">
      <c r="A38">
        <v>32</v>
      </c>
      <c r="B38" s="11" t="s">
        <v>60</v>
      </c>
      <c r="C38" s="11"/>
      <c r="D38" s="203"/>
      <c r="E38" s="204"/>
      <c r="F38" s="207"/>
      <c r="H38" s="20">
        <v>2</v>
      </c>
      <c r="I38" s="15">
        <v>3</v>
      </c>
      <c r="J38" s="20">
        <v>1</v>
      </c>
      <c r="K38" s="26">
        <v>1</v>
      </c>
      <c r="L38">
        <v>0</v>
      </c>
      <c r="M38">
        <v>1</v>
      </c>
      <c r="N38" s="8">
        <v>4</v>
      </c>
      <c r="O38">
        <v>1</v>
      </c>
      <c r="P38" s="9">
        <v>0</v>
      </c>
      <c r="Q38" s="9" t="s">
        <v>36</v>
      </c>
    </row>
    <row r="39" spans="1:17">
      <c r="A39">
        <v>33</v>
      </c>
      <c r="B39" s="11" t="s">
        <v>61</v>
      </c>
      <c r="C39" s="11"/>
      <c r="D39" s="23"/>
      <c r="E39" s="201"/>
      <c r="F39" s="208"/>
      <c r="G39" s="202"/>
      <c r="H39" s="6">
        <v>1</v>
      </c>
      <c r="I39" s="6">
        <v>2</v>
      </c>
      <c r="J39" s="6">
        <v>2</v>
      </c>
      <c r="K39" s="7">
        <v>2</v>
      </c>
      <c r="L39">
        <v>0</v>
      </c>
      <c r="M39" s="8">
        <v>3</v>
      </c>
      <c r="N39">
        <v>2</v>
      </c>
      <c r="O39">
        <v>0</v>
      </c>
      <c r="P39" s="9">
        <v>0</v>
      </c>
      <c r="Q39" s="9" t="s">
        <v>36</v>
      </c>
    </row>
    <row r="40" spans="1:17">
      <c r="A40">
        <v>34</v>
      </c>
      <c r="B40" s="11" t="s">
        <v>62</v>
      </c>
      <c r="C40" s="11"/>
      <c r="D40" s="203"/>
      <c r="E40" s="204"/>
      <c r="F40" s="207"/>
      <c r="H40" s="6">
        <v>2</v>
      </c>
      <c r="I40" s="15">
        <v>3</v>
      </c>
      <c r="J40" s="6">
        <v>1</v>
      </c>
      <c r="K40" s="7">
        <v>0</v>
      </c>
      <c r="L40">
        <v>0</v>
      </c>
      <c r="M40">
        <v>2</v>
      </c>
      <c r="N40">
        <v>1</v>
      </c>
      <c r="O40" s="8">
        <v>3</v>
      </c>
      <c r="P40" s="9">
        <v>0</v>
      </c>
      <c r="Q40" s="9" t="s">
        <v>36</v>
      </c>
    </row>
    <row r="41" spans="1:17">
      <c r="A41">
        <v>35</v>
      </c>
      <c r="B41" s="11" t="s">
        <v>63</v>
      </c>
      <c r="C41" s="11"/>
      <c r="D41" s="23"/>
      <c r="E41" s="205"/>
      <c r="F41" s="207"/>
      <c r="H41">
        <v>0</v>
      </c>
      <c r="I41">
        <v>2</v>
      </c>
      <c r="J41" s="8">
        <v>3</v>
      </c>
      <c r="K41" s="9">
        <v>0</v>
      </c>
      <c r="L41">
        <v>0</v>
      </c>
      <c r="M41">
        <v>1</v>
      </c>
      <c r="N41">
        <v>0</v>
      </c>
      <c r="O41" s="8">
        <v>5</v>
      </c>
      <c r="P41" s="9">
        <v>0</v>
      </c>
      <c r="Q41" s="9" t="s">
        <v>27</v>
      </c>
    </row>
    <row r="42" spans="1:17">
      <c r="A42">
        <v>36</v>
      </c>
      <c r="B42" s="11" t="s">
        <v>64</v>
      </c>
      <c r="C42" s="11"/>
      <c r="D42" s="23"/>
      <c r="E42" s="205"/>
      <c r="F42" s="207"/>
      <c r="G42" s="202"/>
      <c r="H42" s="6">
        <v>1</v>
      </c>
      <c r="I42" s="6">
        <v>2</v>
      </c>
      <c r="J42" s="15">
        <v>3</v>
      </c>
      <c r="K42" s="7">
        <v>1</v>
      </c>
      <c r="L42">
        <v>1</v>
      </c>
      <c r="M42" s="8">
        <v>4</v>
      </c>
      <c r="N42">
        <v>0</v>
      </c>
      <c r="O42">
        <v>1</v>
      </c>
      <c r="P42" s="9">
        <v>0</v>
      </c>
      <c r="Q42" s="9" t="s">
        <v>27</v>
      </c>
    </row>
    <row r="43" spans="1:17">
      <c r="A43">
        <v>37</v>
      </c>
      <c r="B43" s="11" t="s">
        <v>65</v>
      </c>
      <c r="C43" s="11"/>
      <c r="D43" s="203"/>
      <c r="E43" s="206"/>
      <c r="F43" s="207"/>
      <c r="H43" s="6">
        <v>1</v>
      </c>
      <c r="I43" s="6">
        <v>1</v>
      </c>
      <c r="J43" s="15">
        <v>3</v>
      </c>
      <c r="K43" s="7">
        <v>2</v>
      </c>
      <c r="L43">
        <v>0</v>
      </c>
      <c r="M43">
        <v>2</v>
      </c>
      <c r="N43" s="8">
        <v>3</v>
      </c>
      <c r="O43">
        <v>0</v>
      </c>
      <c r="P43" s="9">
        <v>0</v>
      </c>
      <c r="Q43" s="9" t="s">
        <v>33</v>
      </c>
    </row>
    <row r="44" spans="1:17">
      <c r="A44">
        <v>38</v>
      </c>
      <c r="B44" s="11" t="s">
        <v>66</v>
      </c>
      <c r="C44" s="11"/>
      <c r="D44" s="203"/>
      <c r="E44" s="206"/>
      <c r="F44" s="207"/>
      <c r="H44" s="15">
        <v>4</v>
      </c>
      <c r="I44" s="6">
        <v>1</v>
      </c>
      <c r="J44" s="6">
        <v>0</v>
      </c>
      <c r="K44" s="7">
        <v>0</v>
      </c>
      <c r="L44">
        <v>0</v>
      </c>
      <c r="M44">
        <v>0</v>
      </c>
      <c r="N44" s="8">
        <v>4</v>
      </c>
      <c r="O44">
        <v>0</v>
      </c>
      <c r="P44" s="9">
        <v>1</v>
      </c>
      <c r="Q44" s="9" t="s">
        <v>29</v>
      </c>
    </row>
    <row r="45" spans="1:17">
      <c r="A45">
        <v>39</v>
      </c>
      <c r="B45" s="11" t="s">
        <v>67</v>
      </c>
      <c r="C45" s="11"/>
      <c r="D45" s="23"/>
      <c r="E45" s="205"/>
      <c r="F45" s="208"/>
      <c r="H45">
        <v>2</v>
      </c>
      <c r="I45" s="8">
        <v>3</v>
      </c>
      <c r="J45">
        <v>1</v>
      </c>
      <c r="K45" s="9">
        <v>0</v>
      </c>
      <c r="L45">
        <v>1</v>
      </c>
      <c r="M45">
        <v>1</v>
      </c>
      <c r="N45">
        <v>1</v>
      </c>
      <c r="O45">
        <v>1</v>
      </c>
      <c r="P45" s="10">
        <v>4</v>
      </c>
      <c r="Q45" s="9" t="s">
        <v>29</v>
      </c>
    </row>
    <row r="46" spans="1:17">
      <c r="A46">
        <v>40</v>
      </c>
      <c r="B46" s="11" t="s">
        <v>68</v>
      </c>
      <c r="C46" s="11"/>
      <c r="D46" s="23"/>
      <c r="E46" s="205"/>
      <c r="F46" s="208"/>
      <c r="H46" s="15">
        <v>4</v>
      </c>
      <c r="I46" s="6">
        <v>1</v>
      </c>
      <c r="J46" s="6">
        <v>0</v>
      </c>
      <c r="K46" s="7">
        <v>0</v>
      </c>
      <c r="L46">
        <v>0</v>
      </c>
      <c r="M46">
        <v>0</v>
      </c>
      <c r="N46">
        <v>0</v>
      </c>
      <c r="O46">
        <v>0</v>
      </c>
      <c r="P46" s="10">
        <v>5</v>
      </c>
      <c r="Q46" s="9" t="s">
        <v>36</v>
      </c>
    </row>
    <row r="47" spans="1:17">
      <c r="A47">
        <v>41</v>
      </c>
      <c r="B47" s="11" t="s">
        <v>69</v>
      </c>
      <c r="C47" s="11"/>
      <c r="D47" s="203"/>
      <c r="E47" s="206"/>
      <c r="F47" s="207"/>
      <c r="H47" s="15">
        <v>4</v>
      </c>
      <c r="I47" s="6">
        <v>1</v>
      </c>
      <c r="J47" s="6">
        <v>0</v>
      </c>
      <c r="K47" s="7">
        <v>0</v>
      </c>
      <c r="L47">
        <v>0</v>
      </c>
      <c r="M47">
        <v>0</v>
      </c>
      <c r="N47">
        <v>2</v>
      </c>
      <c r="O47">
        <v>0</v>
      </c>
      <c r="P47" s="10">
        <v>4</v>
      </c>
      <c r="Q47" s="9" t="s">
        <v>36</v>
      </c>
    </row>
    <row r="48" spans="1:17">
      <c r="A48">
        <v>42</v>
      </c>
      <c r="B48" s="11" t="s">
        <v>70</v>
      </c>
      <c r="C48" s="11"/>
      <c r="D48" s="203"/>
      <c r="E48" s="206"/>
      <c r="F48" s="207"/>
      <c r="H48">
        <v>2</v>
      </c>
      <c r="I48">
        <v>2</v>
      </c>
      <c r="J48" s="8">
        <v>3</v>
      </c>
      <c r="K48" s="9">
        <v>0</v>
      </c>
      <c r="L48">
        <v>1</v>
      </c>
      <c r="M48">
        <v>1</v>
      </c>
      <c r="N48">
        <v>1</v>
      </c>
      <c r="O48">
        <v>1</v>
      </c>
      <c r="P48" s="10">
        <v>4</v>
      </c>
      <c r="Q48" s="9" t="s">
        <v>27</v>
      </c>
    </row>
    <row r="49" spans="1:17" s="21" customFormat="1">
      <c r="A49">
        <v>43</v>
      </c>
      <c r="B49" s="11" t="s">
        <v>128</v>
      </c>
      <c r="C49" s="11"/>
      <c r="D49" s="23"/>
      <c r="E49" s="205"/>
      <c r="F49" s="207"/>
      <c r="H49" s="15">
        <v>4</v>
      </c>
      <c r="I49" s="6">
        <v>1</v>
      </c>
      <c r="J49" s="6">
        <v>0</v>
      </c>
      <c r="K49" s="7">
        <v>0</v>
      </c>
      <c r="L49">
        <v>0</v>
      </c>
      <c r="M49">
        <v>0</v>
      </c>
      <c r="N49" s="8">
        <v>5</v>
      </c>
      <c r="O49">
        <v>0</v>
      </c>
      <c r="P49" s="9">
        <v>0</v>
      </c>
      <c r="Q49" s="9" t="s">
        <v>29</v>
      </c>
    </row>
    <row r="50" spans="1:17">
      <c r="A50">
        <v>44</v>
      </c>
      <c r="B50" s="11" t="s">
        <v>71</v>
      </c>
      <c r="C50" s="11"/>
      <c r="D50" s="203"/>
      <c r="E50" s="206"/>
      <c r="F50" s="207"/>
      <c r="H50" s="15">
        <v>4</v>
      </c>
      <c r="I50" s="6">
        <v>1</v>
      </c>
      <c r="J50" s="6">
        <v>0</v>
      </c>
      <c r="K50" s="7">
        <v>0</v>
      </c>
      <c r="L50">
        <v>0</v>
      </c>
      <c r="M50">
        <v>0</v>
      </c>
      <c r="N50">
        <v>2</v>
      </c>
      <c r="O50">
        <v>0</v>
      </c>
      <c r="P50" s="10">
        <v>4</v>
      </c>
      <c r="Q50" s="9" t="s">
        <v>29</v>
      </c>
    </row>
    <row r="51" spans="1:17">
      <c r="A51">
        <v>45</v>
      </c>
      <c r="B51" s="11" t="s">
        <v>72</v>
      </c>
      <c r="C51" s="11"/>
      <c r="D51" s="203"/>
      <c r="E51" s="206"/>
      <c r="F51" s="207"/>
      <c r="H51" s="15">
        <v>4</v>
      </c>
      <c r="I51" s="6">
        <v>1</v>
      </c>
      <c r="J51" s="6">
        <v>0</v>
      </c>
      <c r="K51" s="7">
        <v>0</v>
      </c>
      <c r="L51">
        <v>0</v>
      </c>
      <c r="M51">
        <v>0</v>
      </c>
      <c r="N51" s="8">
        <v>4</v>
      </c>
      <c r="O51">
        <v>0</v>
      </c>
      <c r="P51" s="9">
        <v>1</v>
      </c>
      <c r="Q51" s="9" t="s">
        <v>27</v>
      </c>
    </row>
    <row r="52" spans="1:17">
      <c r="A52">
        <v>46</v>
      </c>
      <c r="B52" s="11" t="s">
        <v>73</v>
      </c>
      <c r="C52" s="11"/>
      <c r="D52" s="23"/>
      <c r="E52" s="205"/>
      <c r="F52" s="208"/>
      <c r="G52" s="202"/>
      <c r="H52" s="8">
        <v>5</v>
      </c>
      <c r="I52">
        <v>1</v>
      </c>
      <c r="J52">
        <v>1</v>
      </c>
      <c r="K52" s="9">
        <v>0</v>
      </c>
      <c r="L52">
        <v>0</v>
      </c>
      <c r="M52">
        <v>0</v>
      </c>
      <c r="N52">
        <v>0</v>
      </c>
      <c r="O52">
        <v>0</v>
      </c>
      <c r="P52" s="10">
        <v>5</v>
      </c>
      <c r="Q52" s="9" t="s">
        <v>36</v>
      </c>
    </row>
    <row r="53" spans="1:17">
      <c r="A53">
        <v>47</v>
      </c>
      <c r="B53" s="11" t="s">
        <v>74</v>
      </c>
      <c r="C53" s="11"/>
      <c r="D53" s="203"/>
      <c r="E53" s="206"/>
      <c r="F53" s="207"/>
      <c r="H53" s="16">
        <v>0</v>
      </c>
      <c r="I53" s="16">
        <v>0</v>
      </c>
      <c r="J53" s="17">
        <v>3</v>
      </c>
      <c r="K53" s="18">
        <v>2</v>
      </c>
      <c r="L53">
        <v>0</v>
      </c>
      <c r="M53" s="8">
        <v>3</v>
      </c>
      <c r="N53">
        <v>0</v>
      </c>
      <c r="O53">
        <v>1</v>
      </c>
      <c r="P53" s="9">
        <v>0</v>
      </c>
      <c r="Q53" s="9" t="s">
        <v>36</v>
      </c>
    </row>
    <row r="54" spans="1:17">
      <c r="A54">
        <v>48</v>
      </c>
      <c r="B54" s="11" t="s">
        <v>75</v>
      </c>
      <c r="C54" s="11"/>
      <c r="D54" s="203"/>
      <c r="E54" s="206"/>
      <c r="F54" s="207"/>
      <c r="H54" s="15">
        <v>4</v>
      </c>
      <c r="I54" s="6">
        <v>3</v>
      </c>
      <c r="J54" s="6">
        <v>1</v>
      </c>
      <c r="K54" s="7">
        <v>0</v>
      </c>
      <c r="L54">
        <v>0</v>
      </c>
      <c r="M54">
        <v>1</v>
      </c>
      <c r="N54">
        <v>0</v>
      </c>
      <c r="O54" s="8">
        <v>4</v>
      </c>
      <c r="P54" s="9">
        <v>0</v>
      </c>
      <c r="Q54" s="9" t="s">
        <v>27</v>
      </c>
    </row>
    <row r="55" spans="1:17">
      <c r="A55">
        <v>49</v>
      </c>
      <c r="B55" s="11" t="s">
        <v>76</v>
      </c>
      <c r="C55" s="11"/>
      <c r="D55" s="203"/>
      <c r="E55" s="206"/>
      <c r="F55" s="207"/>
      <c r="H55" s="15">
        <v>4</v>
      </c>
      <c r="I55" s="6">
        <v>1</v>
      </c>
      <c r="J55" s="6">
        <v>0</v>
      </c>
      <c r="K55" s="7">
        <v>0</v>
      </c>
      <c r="L55">
        <v>0</v>
      </c>
      <c r="M55">
        <v>1</v>
      </c>
      <c r="N55">
        <v>0</v>
      </c>
      <c r="O55" s="8">
        <v>4</v>
      </c>
      <c r="P55" s="9">
        <v>0</v>
      </c>
      <c r="Q55" s="9" t="s">
        <v>36</v>
      </c>
    </row>
    <row r="56" spans="1:17">
      <c r="A56">
        <v>50</v>
      </c>
      <c r="B56" s="11" t="s">
        <v>77</v>
      </c>
      <c r="C56" s="11"/>
      <c r="D56" s="23"/>
      <c r="E56" s="205"/>
      <c r="F56" s="207"/>
      <c r="H56">
        <v>1</v>
      </c>
      <c r="I56" s="8">
        <v>5</v>
      </c>
      <c r="J56">
        <v>0</v>
      </c>
      <c r="K56" s="9">
        <v>0</v>
      </c>
      <c r="L56">
        <v>2</v>
      </c>
      <c r="M56" s="8">
        <v>3</v>
      </c>
      <c r="N56">
        <v>2</v>
      </c>
      <c r="O56">
        <v>0</v>
      </c>
      <c r="P56" s="9">
        <v>0</v>
      </c>
      <c r="Q56" s="9" t="s">
        <v>36</v>
      </c>
    </row>
    <row r="57" spans="1:17">
      <c r="A57">
        <v>51</v>
      </c>
      <c r="B57" s="11" t="s">
        <v>78</v>
      </c>
      <c r="C57" s="11"/>
      <c r="D57" s="23"/>
      <c r="E57" s="205"/>
      <c r="F57" s="208"/>
      <c r="H57">
        <v>0</v>
      </c>
      <c r="I57">
        <v>1</v>
      </c>
      <c r="J57">
        <v>2</v>
      </c>
      <c r="K57" s="10">
        <v>4</v>
      </c>
      <c r="L57">
        <v>2</v>
      </c>
      <c r="M57" s="8">
        <v>3</v>
      </c>
      <c r="N57">
        <v>1</v>
      </c>
      <c r="O57">
        <v>0</v>
      </c>
      <c r="P57" s="9">
        <v>0</v>
      </c>
      <c r="Q57" s="9" t="s">
        <v>27</v>
      </c>
    </row>
    <row r="58" spans="1:17">
      <c r="A58">
        <v>52</v>
      </c>
      <c r="B58" s="11" t="s">
        <v>79</v>
      </c>
      <c r="C58" s="11"/>
      <c r="D58" s="23"/>
      <c r="E58" s="205"/>
      <c r="F58" s="208"/>
      <c r="G58" s="202"/>
      <c r="H58">
        <v>0</v>
      </c>
      <c r="I58">
        <v>1</v>
      </c>
      <c r="J58">
        <v>2</v>
      </c>
      <c r="K58" s="10">
        <v>4</v>
      </c>
      <c r="L58">
        <v>2</v>
      </c>
      <c r="M58" s="8">
        <v>3</v>
      </c>
      <c r="N58">
        <v>1</v>
      </c>
      <c r="O58">
        <v>0</v>
      </c>
      <c r="P58" s="9">
        <v>0</v>
      </c>
      <c r="Q58" s="9" t="s">
        <v>27</v>
      </c>
    </row>
    <row r="59" spans="1:17">
      <c r="A59">
        <v>53</v>
      </c>
      <c r="B59" s="11" t="s">
        <v>80</v>
      </c>
      <c r="C59" s="11"/>
      <c r="D59" s="23"/>
      <c r="E59" s="205"/>
      <c r="F59" s="207"/>
      <c r="H59">
        <v>0</v>
      </c>
      <c r="I59">
        <v>1</v>
      </c>
      <c r="J59">
        <v>2</v>
      </c>
      <c r="K59" s="10">
        <v>4</v>
      </c>
      <c r="L59">
        <v>2</v>
      </c>
      <c r="M59" s="8">
        <v>3</v>
      </c>
      <c r="N59">
        <v>1</v>
      </c>
      <c r="O59">
        <v>0</v>
      </c>
      <c r="P59" s="9">
        <v>0</v>
      </c>
      <c r="Q59" s="9" t="s">
        <v>33</v>
      </c>
    </row>
    <row r="60" spans="1:17">
      <c r="A60">
        <v>54</v>
      </c>
      <c r="B60" s="11" t="s">
        <v>81</v>
      </c>
      <c r="C60" s="11"/>
      <c r="D60" s="23"/>
      <c r="E60" s="205"/>
      <c r="F60" s="208"/>
      <c r="G60" s="202"/>
      <c r="H60" s="6">
        <v>0</v>
      </c>
      <c r="I60" s="6">
        <v>1</v>
      </c>
      <c r="J60" s="6">
        <v>2</v>
      </c>
      <c r="K60" s="19">
        <v>3</v>
      </c>
      <c r="L60">
        <v>1</v>
      </c>
      <c r="M60" s="8">
        <v>4</v>
      </c>
      <c r="N60">
        <v>1</v>
      </c>
      <c r="O60">
        <v>1</v>
      </c>
      <c r="P60" s="9">
        <v>0</v>
      </c>
      <c r="Q60" s="9" t="s">
        <v>36</v>
      </c>
    </row>
    <row r="61" spans="1:17">
      <c r="A61">
        <v>55</v>
      </c>
      <c r="B61" s="11" t="s">
        <v>82</v>
      </c>
      <c r="C61" s="11"/>
      <c r="D61" s="203"/>
      <c r="E61" s="206"/>
      <c r="F61" s="207"/>
      <c r="H61" s="20">
        <v>0</v>
      </c>
      <c r="I61" s="6">
        <v>0</v>
      </c>
      <c r="J61" s="6">
        <v>3</v>
      </c>
      <c r="K61" s="19">
        <v>4</v>
      </c>
      <c r="L61" s="8">
        <v>4</v>
      </c>
      <c r="M61">
        <v>3</v>
      </c>
      <c r="N61" s="21">
        <v>0</v>
      </c>
      <c r="O61">
        <v>0</v>
      </c>
      <c r="P61" s="9">
        <v>0</v>
      </c>
      <c r="Q61" s="9" t="s">
        <v>33</v>
      </c>
    </row>
    <row r="62" spans="1:17">
      <c r="A62">
        <v>56</v>
      </c>
      <c r="B62" s="11" t="s">
        <v>83</v>
      </c>
      <c r="C62" s="11"/>
      <c r="D62" s="23"/>
      <c r="E62" s="205"/>
      <c r="F62" s="207"/>
      <c r="H62" s="6">
        <v>0</v>
      </c>
      <c r="I62" s="6">
        <v>1</v>
      </c>
      <c r="J62" s="6">
        <v>2</v>
      </c>
      <c r="K62" s="19">
        <v>3</v>
      </c>
      <c r="L62" s="8">
        <v>4</v>
      </c>
      <c r="M62">
        <v>2</v>
      </c>
      <c r="N62">
        <v>1</v>
      </c>
      <c r="O62">
        <v>0</v>
      </c>
      <c r="P62" s="9">
        <v>0</v>
      </c>
      <c r="Q62" s="9" t="s">
        <v>36</v>
      </c>
    </row>
    <row r="63" spans="1:17">
      <c r="A63">
        <v>57</v>
      </c>
      <c r="B63" s="11" t="s">
        <v>85</v>
      </c>
      <c r="C63" s="11"/>
      <c r="D63" s="23"/>
      <c r="E63" s="205"/>
      <c r="F63" s="207"/>
      <c r="H63" s="23">
        <v>0</v>
      </c>
      <c r="I63" s="23">
        <v>2</v>
      </c>
      <c r="J63" s="17">
        <v>3</v>
      </c>
      <c r="K63" s="25">
        <v>1</v>
      </c>
      <c r="L63">
        <v>2</v>
      </c>
      <c r="M63" s="8">
        <v>3</v>
      </c>
      <c r="N63">
        <v>2</v>
      </c>
      <c r="O63">
        <v>0</v>
      </c>
      <c r="P63" s="9">
        <v>0</v>
      </c>
      <c r="Q63" s="9" t="s">
        <v>33</v>
      </c>
    </row>
    <row r="64" spans="1:17">
      <c r="A64">
        <v>58</v>
      </c>
      <c r="B64" s="27" t="s">
        <v>86</v>
      </c>
      <c r="C64" s="27"/>
      <c r="D64" s="23"/>
      <c r="E64" s="205"/>
      <c r="F64" s="207"/>
      <c r="H64" s="15">
        <v>4</v>
      </c>
      <c r="I64" s="6">
        <v>1</v>
      </c>
      <c r="J64" s="6">
        <v>0</v>
      </c>
      <c r="K64" s="7">
        <v>0</v>
      </c>
      <c r="L64">
        <v>0</v>
      </c>
      <c r="M64">
        <v>2</v>
      </c>
      <c r="N64">
        <v>2</v>
      </c>
      <c r="O64" s="8">
        <v>3</v>
      </c>
      <c r="P64" s="9">
        <v>0</v>
      </c>
      <c r="Q64" s="9" t="s">
        <v>36</v>
      </c>
    </row>
    <row r="65" spans="1:17">
      <c r="A65">
        <v>59</v>
      </c>
      <c r="B65" s="11" t="s">
        <v>87</v>
      </c>
      <c r="C65" s="11"/>
      <c r="D65" s="23"/>
      <c r="E65" s="205"/>
      <c r="F65" s="207"/>
      <c r="H65" s="20">
        <v>0</v>
      </c>
      <c r="I65" s="6">
        <v>2</v>
      </c>
      <c r="J65" s="6">
        <v>3</v>
      </c>
      <c r="K65" s="19">
        <v>4</v>
      </c>
      <c r="L65">
        <v>1</v>
      </c>
      <c r="M65" s="8">
        <v>4</v>
      </c>
      <c r="N65">
        <v>0</v>
      </c>
      <c r="O65">
        <v>1</v>
      </c>
      <c r="P65" s="9">
        <v>0</v>
      </c>
      <c r="Q65" s="9" t="s">
        <v>36</v>
      </c>
    </row>
    <row r="66" spans="1:17">
      <c r="A66">
        <v>60</v>
      </c>
      <c r="B66" s="11" t="s">
        <v>88</v>
      </c>
      <c r="C66" s="11"/>
      <c r="D66" s="23"/>
      <c r="E66" s="205"/>
      <c r="F66" s="207"/>
      <c r="H66">
        <v>0</v>
      </c>
      <c r="I66" s="8">
        <v>3</v>
      </c>
      <c r="J66">
        <v>2</v>
      </c>
      <c r="K66" s="9">
        <v>2</v>
      </c>
      <c r="L66">
        <v>1</v>
      </c>
      <c r="M66">
        <v>2</v>
      </c>
      <c r="N66" s="8">
        <v>3</v>
      </c>
      <c r="O66">
        <v>1</v>
      </c>
      <c r="P66" s="9">
        <v>0</v>
      </c>
      <c r="Q66" s="9" t="s">
        <v>27</v>
      </c>
    </row>
    <row r="67" spans="1:17">
      <c r="A67">
        <v>61</v>
      </c>
      <c r="B67" s="11" t="s">
        <v>89</v>
      </c>
      <c r="C67" s="11"/>
      <c r="D67" s="203"/>
      <c r="E67" s="206"/>
      <c r="F67" s="207"/>
      <c r="H67" s="6">
        <v>0</v>
      </c>
      <c r="I67" s="6">
        <v>1</v>
      </c>
      <c r="J67" s="6">
        <v>3</v>
      </c>
      <c r="K67" s="19">
        <v>4</v>
      </c>
      <c r="L67">
        <v>2</v>
      </c>
      <c r="M67" s="8">
        <v>3</v>
      </c>
      <c r="N67" s="21">
        <v>2</v>
      </c>
      <c r="O67">
        <v>0</v>
      </c>
      <c r="P67" s="9">
        <v>0</v>
      </c>
      <c r="Q67" s="9" t="s">
        <v>33</v>
      </c>
    </row>
    <row r="68" spans="1:17">
      <c r="A68">
        <v>62</v>
      </c>
      <c r="B68" s="11" t="s">
        <v>90</v>
      </c>
      <c r="C68" s="11"/>
      <c r="D68" s="23"/>
      <c r="E68" s="205"/>
      <c r="F68" s="208"/>
      <c r="H68" s="6">
        <v>1</v>
      </c>
      <c r="I68" s="15">
        <v>3</v>
      </c>
      <c r="J68" s="6">
        <v>2</v>
      </c>
      <c r="K68" s="7">
        <v>1</v>
      </c>
      <c r="L68">
        <v>2</v>
      </c>
      <c r="M68">
        <v>2</v>
      </c>
      <c r="N68">
        <v>2</v>
      </c>
      <c r="O68">
        <v>2</v>
      </c>
      <c r="P68" s="9">
        <v>0</v>
      </c>
      <c r="Q68" s="9" t="s">
        <v>36</v>
      </c>
    </row>
    <row r="69" spans="1:17">
      <c r="A69">
        <v>63</v>
      </c>
      <c r="B69" s="11" t="s">
        <v>91</v>
      </c>
      <c r="C69" s="11"/>
      <c r="D69" s="23"/>
      <c r="E69" s="205"/>
      <c r="F69" s="208"/>
      <c r="G69" s="202"/>
      <c r="H69">
        <v>0</v>
      </c>
      <c r="I69">
        <v>1</v>
      </c>
      <c r="J69" s="8">
        <v>3</v>
      </c>
      <c r="K69" s="9">
        <v>2</v>
      </c>
      <c r="L69">
        <v>2</v>
      </c>
      <c r="M69">
        <v>2</v>
      </c>
      <c r="N69">
        <v>2</v>
      </c>
      <c r="O69">
        <v>2</v>
      </c>
      <c r="P69" s="9">
        <v>0</v>
      </c>
      <c r="Q69" s="9" t="s">
        <v>27</v>
      </c>
    </row>
    <row r="70" spans="1:17">
      <c r="A70">
        <v>64</v>
      </c>
      <c r="B70" s="11" t="s">
        <v>129</v>
      </c>
      <c r="C70" s="11"/>
      <c r="D70" s="203"/>
      <c r="E70" s="206"/>
      <c r="F70" s="207"/>
      <c r="H70" s="6">
        <v>0</v>
      </c>
      <c r="I70" s="6">
        <v>0</v>
      </c>
      <c r="J70" s="6">
        <v>1</v>
      </c>
      <c r="K70" s="19">
        <v>4</v>
      </c>
      <c r="L70" s="8">
        <v>4</v>
      </c>
      <c r="M70" s="21">
        <v>1</v>
      </c>
      <c r="N70">
        <v>0</v>
      </c>
      <c r="O70">
        <v>0</v>
      </c>
      <c r="P70" s="9">
        <v>0</v>
      </c>
      <c r="Q70" s="9" t="s">
        <v>36</v>
      </c>
    </row>
    <row r="71" spans="1:17">
      <c r="A71">
        <v>65</v>
      </c>
      <c r="B71" s="11" t="s">
        <v>92</v>
      </c>
      <c r="C71" s="11"/>
      <c r="D71" s="23"/>
      <c r="E71" s="205"/>
      <c r="F71" s="207"/>
      <c r="H71" s="6">
        <v>1</v>
      </c>
      <c r="I71" s="15">
        <v>3</v>
      </c>
      <c r="J71" s="6">
        <v>2</v>
      </c>
      <c r="K71" s="7">
        <v>1</v>
      </c>
      <c r="L71">
        <v>2</v>
      </c>
      <c r="M71" s="8">
        <v>3</v>
      </c>
      <c r="N71">
        <v>2</v>
      </c>
      <c r="O71">
        <v>2</v>
      </c>
      <c r="P71" s="9">
        <v>0</v>
      </c>
      <c r="Q71" s="9" t="s">
        <v>36</v>
      </c>
    </row>
    <row r="72" spans="1:17">
      <c r="A72">
        <v>66</v>
      </c>
      <c r="B72" s="11" t="s">
        <v>93</v>
      </c>
      <c r="C72" s="11"/>
      <c r="D72" s="203"/>
      <c r="E72" s="206"/>
      <c r="F72" s="207"/>
      <c r="H72" s="6">
        <v>0</v>
      </c>
      <c r="I72" s="6">
        <v>1</v>
      </c>
      <c r="J72" s="15">
        <v>3</v>
      </c>
      <c r="K72" s="7">
        <v>2</v>
      </c>
      <c r="L72">
        <v>0</v>
      </c>
      <c r="M72" s="8">
        <v>3</v>
      </c>
      <c r="N72">
        <v>2</v>
      </c>
      <c r="O72">
        <v>0</v>
      </c>
      <c r="P72" s="9">
        <v>0</v>
      </c>
      <c r="Q72" s="9" t="s">
        <v>33</v>
      </c>
    </row>
    <row r="73" spans="1:17">
      <c r="A73">
        <v>67</v>
      </c>
      <c r="B73" s="11" t="s">
        <v>94</v>
      </c>
      <c r="C73" s="11"/>
      <c r="D73" s="23"/>
      <c r="E73" s="205"/>
      <c r="F73" s="207"/>
      <c r="H73" s="8">
        <v>4</v>
      </c>
      <c r="I73">
        <v>2</v>
      </c>
      <c r="J73">
        <v>1</v>
      </c>
      <c r="K73" s="9">
        <v>0</v>
      </c>
      <c r="L73">
        <v>1</v>
      </c>
      <c r="M73">
        <v>2</v>
      </c>
      <c r="N73" s="8">
        <v>3</v>
      </c>
      <c r="O73">
        <v>1</v>
      </c>
      <c r="P73" s="9">
        <v>2</v>
      </c>
      <c r="Q73" s="9" t="s">
        <v>27</v>
      </c>
    </row>
    <row r="74" spans="1:17">
      <c r="A74">
        <v>68</v>
      </c>
      <c r="B74" s="11" t="s">
        <v>95</v>
      </c>
      <c r="C74" s="11"/>
      <c r="D74" s="23"/>
      <c r="E74" s="205"/>
      <c r="F74" s="208"/>
      <c r="G74" s="202"/>
      <c r="H74">
        <v>0</v>
      </c>
      <c r="I74">
        <v>0</v>
      </c>
      <c r="J74" s="8">
        <v>4</v>
      </c>
      <c r="K74" s="9">
        <v>2</v>
      </c>
      <c r="L74">
        <v>1</v>
      </c>
      <c r="M74" s="8">
        <v>4</v>
      </c>
      <c r="N74">
        <v>1</v>
      </c>
      <c r="O74">
        <v>0</v>
      </c>
      <c r="P74" s="9">
        <v>0</v>
      </c>
      <c r="Q74" s="9" t="s">
        <v>36</v>
      </c>
    </row>
    <row r="75" spans="1:17">
      <c r="A75">
        <v>69</v>
      </c>
      <c r="B75" s="11" t="s">
        <v>97</v>
      </c>
      <c r="C75" s="11"/>
      <c r="D75" s="23"/>
      <c r="E75" s="205"/>
      <c r="F75" s="207"/>
      <c r="G75" s="202"/>
      <c r="H75">
        <v>1</v>
      </c>
      <c r="I75">
        <v>2</v>
      </c>
      <c r="J75">
        <v>2</v>
      </c>
      <c r="K75" s="10">
        <v>3</v>
      </c>
      <c r="L75">
        <v>0</v>
      </c>
      <c r="M75">
        <v>0</v>
      </c>
      <c r="N75">
        <v>0</v>
      </c>
      <c r="O75">
        <v>0</v>
      </c>
      <c r="P75" s="10">
        <v>5</v>
      </c>
      <c r="Q75" s="9" t="s">
        <v>27</v>
      </c>
    </row>
    <row r="76" spans="1:17">
      <c r="A76">
        <v>70</v>
      </c>
      <c r="B76" s="27" t="s">
        <v>130</v>
      </c>
      <c r="C76" s="27"/>
      <c r="D76" s="203"/>
      <c r="E76" s="206"/>
      <c r="F76" s="207"/>
      <c r="H76" s="20">
        <v>3</v>
      </c>
      <c r="I76" s="15">
        <v>4</v>
      </c>
      <c r="J76" s="20">
        <v>1</v>
      </c>
      <c r="K76" s="26">
        <v>1</v>
      </c>
      <c r="L76" s="20">
        <v>1</v>
      </c>
      <c r="M76" s="20">
        <v>1</v>
      </c>
      <c r="N76" s="15">
        <v>4</v>
      </c>
      <c r="O76" s="20">
        <v>1</v>
      </c>
      <c r="P76" s="26">
        <v>1</v>
      </c>
      <c r="Q76" s="22" t="s">
        <v>27</v>
      </c>
    </row>
    <row r="77" spans="1:17" s="21" customFormat="1">
      <c r="A77">
        <v>71</v>
      </c>
      <c r="B77" s="11" t="s">
        <v>98</v>
      </c>
      <c r="C77" s="11"/>
      <c r="D77" s="23"/>
      <c r="E77" s="205"/>
      <c r="F77" s="207"/>
      <c r="G77" s="209"/>
      <c r="H77" s="6">
        <v>2</v>
      </c>
      <c r="I77" s="6">
        <v>2</v>
      </c>
      <c r="J77" s="6">
        <v>2</v>
      </c>
      <c r="K77" s="7">
        <v>1</v>
      </c>
      <c r="L77">
        <v>0</v>
      </c>
      <c r="M77">
        <v>2</v>
      </c>
      <c r="N77" s="8">
        <v>3</v>
      </c>
      <c r="O77">
        <v>0</v>
      </c>
      <c r="P77" s="9">
        <v>0</v>
      </c>
      <c r="Q77" s="9" t="s">
        <v>33</v>
      </c>
    </row>
    <row r="78" spans="1:17">
      <c r="A78">
        <v>72</v>
      </c>
      <c r="B78" s="11" t="s">
        <v>99</v>
      </c>
      <c r="C78" s="11"/>
      <c r="D78" s="203"/>
      <c r="E78" s="206"/>
      <c r="F78" s="207"/>
      <c r="H78">
        <v>2</v>
      </c>
      <c r="I78">
        <v>2</v>
      </c>
      <c r="J78" s="8">
        <v>3</v>
      </c>
      <c r="K78" s="9">
        <v>2</v>
      </c>
      <c r="L78">
        <v>0</v>
      </c>
      <c r="M78">
        <v>1</v>
      </c>
      <c r="N78" s="8">
        <v>3</v>
      </c>
      <c r="O78">
        <v>1</v>
      </c>
      <c r="P78" s="9">
        <v>2</v>
      </c>
      <c r="Q78" s="9" t="s">
        <v>36</v>
      </c>
    </row>
    <row r="79" spans="1:17">
      <c r="A79">
        <v>73</v>
      </c>
      <c r="B79" s="11" t="s">
        <v>100</v>
      </c>
      <c r="C79" s="11"/>
      <c r="D79" s="203"/>
      <c r="E79" s="206"/>
      <c r="F79" s="207"/>
      <c r="H79">
        <v>0</v>
      </c>
      <c r="I79">
        <v>2</v>
      </c>
      <c r="J79">
        <v>2</v>
      </c>
      <c r="K79" s="9">
        <v>0</v>
      </c>
      <c r="L79">
        <v>0</v>
      </c>
      <c r="M79">
        <v>0</v>
      </c>
      <c r="N79" s="8">
        <v>3</v>
      </c>
      <c r="O79">
        <v>2</v>
      </c>
      <c r="P79" s="9">
        <v>2</v>
      </c>
      <c r="Q79" s="9" t="s">
        <v>27</v>
      </c>
    </row>
    <row r="80" spans="1:17">
      <c r="A80">
        <v>74</v>
      </c>
      <c r="B80" s="11" t="s">
        <v>101</v>
      </c>
      <c r="C80" s="11"/>
      <c r="D80" s="203"/>
      <c r="E80" s="206"/>
      <c r="F80" s="207"/>
      <c r="H80" s="6">
        <v>2</v>
      </c>
      <c r="I80" s="15">
        <v>3</v>
      </c>
      <c r="J80" s="6">
        <v>2</v>
      </c>
      <c r="K80" s="7">
        <v>0</v>
      </c>
      <c r="L80">
        <v>0</v>
      </c>
      <c r="M80">
        <v>2</v>
      </c>
      <c r="N80">
        <v>0</v>
      </c>
      <c r="O80" s="8">
        <v>3</v>
      </c>
      <c r="P80" s="9">
        <v>0</v>
      </c>
      <c r="Q80" s="9" t="s">
        <v>36</v>
      </c>
    </row>
    <row r="81" spans="1:17">
      <c r="A81">
        <v>75</v>
      </c>
      <c r="B81" s="11" t="s">
        <v>102</v>
      </c>
      <c r="C81" s="11"/>
      <c r="D81" s="23"/>
      <c r="E81" s="205"/>
      <c r="F81" s="208"/>
      <c r="G81" s="202"/>
      <c r="H81" s="6">
        <v>0</v>
      </c>
      <c r="I81" s="6">
        <v>1</v>
      </c>
      <c r="J81" s="6">
        <v>3</v>
      </c>
      <c r="K81" s="19">
        <v>4</v>
      </c>
      <c r="L81">
        <v>1</v>
      </c>
      <c r="M81" s="8">
        <v>4</v>
      </c>
      <c r="N81">
        <v>1</v>
      </c>
      <c r="O81">
        <v>0</v>
      </c>
      <c r="P81" s="9">
        <v>0</v>
      </c>
      <c r="Q81" s="9" t="s">
        <v>36</v>
      </c>
    </row>
    <row r="82" spans="1:17">
      <c r="A82">
        <v>76</v>
      </c>
      <c r="B82" s="11" t="s">
        <v>103</v>
      </c>
      <c r="C82" s="11"/>
      <c r="D82" s="23"/>
      <c r="E82" s="205"/>
      <c r="F82" s="208"/>
      <c r="G82" s="202"/>
      <c r="H82" s="6">
        <v>0</v>
      </c>
      <c r="I82" s="6">
        <v>1</v>
      </c>
      <c r="J82" s="6">
        <v>2</v>
      </c>
      <c r="K82" s="7">
        <v>2</v>
      </c>
      <c r="L82">
        <v>1</v>
      </c>
      <c r="M82" s="8">
        <v>4</v>
      </c>
      <c r="N82">
        <v>1</v>
      </c>
      <c r="O82">
        <v>1</v>
      </c>
      <c r="P82" s="9">
        <v>0</v>
      </c>
      <c r="Q82" s="9" t="s">
        <v>36</v>
      </c>
    </row>
    <row r="83" spans="1:17">
      <c r="A83">
        <v>77</v>
      </c>
      <c r="B83" s="11" t="s">
        <v>104</v>
      </c>
      <c r="C83" s="11"/>
      <c r="D83" s="23"/>
      <c r="E83" s="205"/>
      <c r="F83" s="208"/>
      <c r="H83" s="16">
        <v>0</v>
      </c>
      <c r="I83" s="23">
        <v>0</v>
      </c>
      <c r="J83" s="16">
        <v>3</v>
      </c>
      <c r="K83" s="24">
        <v>4</v>
      </c>
      <c r="L83">
        <v>2</v>
      </c>
      <c r="M83" s="8">
        <v>3</v>
      </c>
      <c r="N83">
        <v>0</v>
      </c>
      <c r="O83">
        <v>0</v>
      </c>
      <c r="P83" s="9">
        <v>0</v>
      </c>
      <c r="Q83" s="9" t="s">
        <v>33</v>
      </c>
    </row>
    <row r="84" spans="1:17">
      <c r="A84">
        <v>78</v>
      </c>
      <c r="B84" s="11" t="s">
        <v>105</v>
      </c>
      <c r="C84" s="11"/>
      <c r="D84" s="23"/>
      <c r="E84" s="205"/>
      <c r="F84" s="207"/>
      <c r="G84" s="202"/>
      <c r="H84">
        <v>2</v>
      </c>
      <c r="I84">
        <v>2</v>
      </c>
      <c r="J84">
        <v>2</v>
      </c>
      <c r="K84" s="10">
        <v>4</v>
      </c>
      <c r="L84">
        <v>2</v>
      </c>
      <c r="M84" s="8">
        <v>3</v>
      </c>
      <c r="N84">
        <v>2</v>
      </c>
      <c r="O84">
        <v>2</v>
      </c>
      <c r="P84" s="9">
        <v>0</v>
      </c>
      <c r="Q84" s="9" t="s">
        <v>27</v>
      </c>
    </row>
    <row r="85" spans="1:17">
      <c r="A85">
        <v>79</v>
      </c>
      <c r="B85" s="11" t="s">
        <v>106</v>
      </c>
      <c r="C85" s="11"/>
      <c r="D85" s="23"/>
      <c r="E85" s="205"/>
      <c r="F85" s="208"/>
      <c r="G85" s="202"/>
      <c r="H85">
        <v>1</v>
      </c>
      <c r="I85" s="8">
        <v>3</v>
      </c>
      <c r="J85">
        <v>2</v>
      </c>
      <c r="K85" s="9">
        <v>2</v>
      </c>
      <c r="L85">
        <v>2</v>
      </c>
      <c r="M85">
        <v>2</v>
      </c>
      <c r="N85">
        <v>2</v>
      </c>
      <c r="O85">
        <v>2</v>
      </c>
      <c r="P85" s="9">
        <v>0</v>
      </c>
      <c r="Q85" s="9" t="s">
        <v>29</v>
      </c>
    </row>
    <row r="86" spans="1:17">
      <c r="A86">
        <v>80</v>
      </c>
      <c r="B86" s="11" t="s">
        <v>107</v>
      </c>
      <c r="C86" s="11"/>
      <c r="D86" s="23"/>
      <c r="E86" s="205"/>
      <c r="F86" s="207"/>
      <c r="H86" s="15">
        <v>3</v>
      </c>
      <c r="I86" s="6">
        <v>1</v>
      </c>
      <c r="J86" s="6">
        <v>0</v>
      </c>
      <c r="K86" s="7">
        <v>0</v>
      </c>
      <c r="L86">
        <v>0</v>
      </c>
      <c r="M86">
        <v>0</v>
      </c>
      <c r="N86">
        <v>0</v>
      </c>
      <c r="O86">
        <v>0</v>
      </c>
      <c r="P86" s="10">
        <v>5</v>
      </c>
      <c r="Q86" s="9" t="s">
        <v>29</v>
      </c>
    </row>
    <row r="87" spans="1:17">
      <c r="A87">
        <v>81</v>
      </c>
      <c r="B87" s="11" t="s">
        <v>108</v>
      </c>
      <c r="C87" s="11"/>
      <c r="D87" s="23"/>
      <c r="E87" s="205"/>
      <c r="F87" s="207"/>
      <c r="H87" s="15">
        <v>3</v>
      </c>
      <c r="I87" s="6">
        <v>2</v>
      </c>
      <c r="J87" s="6">
        <v>2</v>
      </c>
      <c r="K87" s="7">
        <v>0</v>
      </c>
      <c r="L87">
        <v>0</v>
      </c>
      <c r="M87">
        <v>0</v>
      </c>
      <c r="N87">
        <v>0</v>
      </c>
      <c r="O87">
        <v>0</v>
      </c>
      <c r="P87" s="10">
        <v>5</v>
      </c>
      <c r="Q87" s="9" t="s">
        <v>36</v>
      </c>
    </row>
    <row r="88" spans="1:17">
      <c r="A88">
        <v>82</v>
      </c>
      <c r="B88" s="11" t="s">
        <v>109</v>
      </c>
      <c r="C88" s="11"/>
      <c r="D88" s="203"/>
      <c r="E88" s="206"/>
      <c r="F88" s="207"/>
      <c r="H88">
        <v>0</v>
      </c>
      <c r="I88">
        <v>0</v>
      </c>
      <c r="J88" s="21">
        <v>2</v>
      </c>
      <c r="K88" s="10">
        <v>4</v>
      </c>
      <c r="L88">
        <v>1</v>
      </c>
      <c r="M88" s="8">
        <v>4</v>
      </c>
      <c r="N88">
        <v>1</v>
      </c>
      <c r="O88">
        <v>1</v>
      </c>
      <c r="P88" s="9">
        <v>0</v>
      </c>
      <c r="Q88" s="9" t="s">
        <v>27</v>
      </c>
    </row>
    <row r="89" spans="1:17">
      <c r="A89">
        <v>83</v>
      </c>
      <c r="B89" s="11" t="s">
        <v>110</v>
      </c>
      <c r="C89" s="11"/>
      <c r="D89" s="203"/>
      <c r="E89" s="206"/>
      <c r="F89" s="207"/>
      <c r="H89" s="15">
        <v>4</v>
      </c>
      <c r="I89" s="6">
        <v>1</v>
      </c>
      <c r="J89" s="20">
        <v>0</v>
      </c>
      <c r="K89" s="26">
        <v>0</v>
      </c>
      <c r="L89">
        <v>0</v>
      </c>
      <c r="M89" s="21">
        <v>1</v>
      </c>
      <c r="N89">
        <v>1</v>
      </c>
      <c r="O89" s="8">
        <v>4</v>
      </c>
      <c r="P89" s="9">
        <v>1</v>
      </c>
      <c r="Q89" s="9" t="s">
        <v>29</v>
      </c>
    </row>
    <row r="90" spans="1:17">
      <c r="A90">
        <v>84</v>
      </c>
      <c r="B90" s="11" t="s">
        <v>111</v>
      </c>
      <c r="C90" s="11"/>
      <c r="D90" s="203"/>
      <c r="E90" s="206"/>
      <c r="F90" s="207"/>
      <c r="H90">
        <v>2</v>
      </c>
      <c r="I90">
        <v>2</v>
      </c>
      <c r="J90">
        <v>2</v>
      </c>
      <c r="K90" s="10">
        <v>4</v>
      </c>
      <c r="L90">
        <v>1</v>
      </c>
      <c r="M90">
        <v>1</v>
      </c>
      <c r="N90">
        <v>1</v>
      </c>
      <c r="O90">
        <v>1</v>
      </c>
      <c r="P90" s="10">
        <v>4</v>
      </c>
      <c r="Q90" s="9" t="s">
        <v>29</v>
      </c>
    </row>
    <row r="91" spans="1:17">
      <c r="A91">
        <v>85</v>
      </c>
      <c r="B91" s="11" t="s">
        <v>112</v>
      </c>
      <c r="C91" s="11"/>
      <c r="D91" s="203"/>
      <c r="E91" s="206"/>
      <c r="F91" s="207"/>
      <c r="H91" s="15">
        <v>3</v>
      </c>
      <c r="I91" s="6">
        <v>1</v>
      </c>
      <c r="J91" s="6">
        <v>0</v>
      </c>
      <c r="K91" s="7">
        <v>0</v>
      </c>
      <c r="L91">
        <v>1</v>
      </c>
      <c r="M91">
        <v>1</v>
      </c>
      <c r="N91">
        <v>1</v>
      </c>
      <c r="O91">
        <v>2</v>
      </c>
      <c r="P91" s="10">
        <v>3</v>
      </c>
      <c r="Q91" s="9" t="s">
        <v>29</v>
      </c>
    </row>
    <row r="92" spans="1:17">
      <c r="A92">
        <v>86</v>
      </c>
      <c r="B92" s="11" t="s">
        <v>113</v>
      </c>
      <c r="C92" s="11"/>
      <c r="D92" s="23"/>
      <c r="E92" s="205"/>
      <c r="F92" s="208"/>
      <c r="G92" s="202"/>
      <c r="H92">
        <v>0</v>
      </c>
      <c r="I92">
        <v>2</v>
      </c>
      <c r="J92">
        <v>2</v>
      </c>
      <c r="K92" s="10">
        <v>4</v>
      </c>
      <c r="L92">
        <v>2</v>
      </c>
      <c r="M92" s="8">
        <v>3</v>
      </c>
      <c r="N92">
        <v>2</v>
      </c>
      <c r="O92">
        <v>0</v>
      </c>
      <c r="P92" s="9">
        <v>0</v>
      </c>
      <c r="Q92" s="9" t="s">
        <v>27</v>
      </c>
    </row>
    <row r="93" spans="1:17">
      <c r="A93">
        <v>87</v>
      </c>
      <c r="B93" s="11" t="s">
        <v>114</v>
      </c>
      <c r="C93" s="11"/>
      <c r="D93" s="203"/>
      <c r="E93" s="206"/>
      <c r="F93" s="207"/>
      <c r="H93" s="15">
        <v>4</v>
      </c>
      <c r="I93" s="20">
        <v>1</v>
      </c>
      <c r="J93" s="6">
        <v>0</v>
      </c>
      <c r="K93" s="7">
        <v>0</v>
      </c>
      <c r="L93">
        <v>0</v>
      </c>
      <c r="M93">
        <v>0</v>
      </c>
      <c r="N93">
        <v>0</v>
      </c>
      <c r="O93" s="8">
        <v>4</v>
      </c>
      <c r="P93" s="9">
        <v>0</v>
      </c>
      <c r="Q93" s="9" t="s">
        <v>29</v>
      </c>
    </row>
    <row r="94" spans="1:17">
      <c r="A94">
        <v>88</v>
      </c>
      <c r="B94" s="11" t="s">
        <v>115</v>
      </c>
      <c r="C94" s="11"/>
      <c r="D94" s="203"/>
      <c r="E94" s="206"/>
      <c r="F94" s="207"/>
      <c r="H94" s="6">
        <v>2</v>
      </c>
      <c r="I94" s="15">
        <v>3</v>
      </c>
      <c r="J94" s="6">
        <v>1</v>
      </c>
      <c r="K94" s="7">
        <v>0</v>
      </c>
      <c r="L94">
        <v>0</v>
      </c>
      <c r="M94">
        <v>2</v>
      </c>
      <c r="N94">
        <v>0</v>
      </c>
      <c r="O94" s="8">
        <v>3</v>
      </c>
      <c r="P94" s="9">
        <v>0</v>
      </c>
      <c r="Q94" s="9" t="s">
        <v>27</v>
      </c>
    </row>
    <row r="95" spans="1:17">
      <c r="A95">
        <v>89</v>
      </c>
      <c r="B95" s="11" t="s">
        <v>116</v>
      </c>
      <c r="C95" s="11"/>
      <c r="D95" s="23"/>
      <c r="E95" s="205"/>
      <c r="F95" s="208"/>
      <c r="G95" s="202"/>
      <c r="H95">
        <v>3</v>
      </c>
      <c r="I95" s="8">
        <v>4</v>
      </c>
      <c r="J95">
        <v>1</v>
      </c>
      <c r="K95" s="9">
        <v>1</v>
      </c>
      <c r="L95">
        <v>1</v>
      </c>
      <c r="M95">
        <v>2</v>
      </c>
      <c r="N95">
        <v>0</v>
      </c>
      <c r="O95" s="8">
        <v>3</v>
      </c>
      <c r="P95" s="9">
        <v>0</v>
      </c>
      <c r="Q95" s="9" t="s">
        <v>27</v>
      </c>
    </row>
    <row r="96" spans="1:17">
      <c r="A96">
        <v>90</v>
      </c>
      <c r="B96" s="11" t="s">
        <v>117</v>
      </c>
      <c r="C96" s="11"/>
      <c r="D96" s="23"/>
      <c r="E96" s="205"/>
      <c r="F96" s="208"/>
      <c r="G96" s="202"/>
      <c r="H96">
        <v>1</v>
      </c>
      <c r="I96">
        <v>2</v>
      </c>
      <c r="J96">
        <v>2</v>
      </c>
      <c r="K96" s="9">
        <v>1</v>
      </c>
      <c r="L96" s="8">
        <v>3</v>
      </c>
      <c r="M96">
        <v>2</v>
      </c>
      <c r="N96">
        <v>1</v>
      </c>
      <c r="O96">
        <v>0</v>
      </c>
      <c r="P96" s="9">
        <v>0</v>
      </c>
      <c r="Q96" s="9" t="s">
        <v>27</v>
      </c>
    </row>
    <row r="97" spans="1:17">
      <c r="A97">
        <v>91</v>
      </c>
      <c r="B97" s="11" t="s">
        <v>118</v>
      </c>
      <c r="C97" s="11"/>
      <c r="D97" s="203"/>
      <c r="E97" s="206"/>
      <c r="F97" s="207"/>
      <c r="H97" s="15">
        <v>3</v>
      </c>
      <c r="I97" s="20">
        <v>2</v>
      </c>
      <c r="J97" s="6">
        <v>0</v>
      </c>
      <c r="K97" s="26">
        <v>0</v>
      </c>
      <c r="L97">
        <v>2</v>
      </c>
      <c r="M97">
        <v>2</v>
      </c>
      <c r="N97" s="8">
        <v>3</v>
      </c>
      <c r="O97">
        <v>0</v>
      </c>
      <c r="P97" s="9">
        <v>0</v>
      </c>
      <c r="Q97" s="9" t="s">
        <v>29</v>
      </c>
    </row>
    <row r="98" spans="1:17">
      <c r="A98">
        <v>92</v>
      </c>
      <c r="B98" s="11" t="s">
        <v>119</v>
      </c>
      <c r="C98" s="11"/>
      <c r="D98" s="203"/>
      <c r="E98" s="206"/>
      <c r="F98" s="207"/>
      <c r="H98" s="8">
        <v>3</v>
      </c>
      <c r="I98">
        <v>2</v>
      </c>
      <c r="J98">
        <v>0</v>
      </c>
      <c r="K98" s="9">
        <v>0</v>
      </c>
      <c r="L98">
        <v>1</v>
      </c>
      <c r="M98">
        <v>2</v>
      </c>
      <c r="N98" s="8">
        <v>3</v>
      </c>
      <c r="O98">
        <v>0</v>
      </c>
      <c r="P98" s="9">
        <v>0</v>
      </c>
      <c r="Q98" s="9" t="s">
        <v>29</v>
      </c>
    </row>
    <row r="99" spans="1:17">
      <c r="A99">
        <v>93</v>
      </c>
      <c r="B99" s="11" t="s">
        <v>120</v>
      </c>
      <c r="C99" s="11"/>
      <c r="D99" s="203"/>
      <c r="E99" s="206"/>
      <c r="F99" s="207"/>
      <c r="H99" s="15">
        <v>3</v>
      </c>
      <c r="I99" s="6">
        <v>2</v>
      </c>
      <c r="J99" s="6">
        <v>0</v>
      </c>
      <c r="K99" s="7">
        <v>0</v>
      </c>
      <c r="L99">
        <v>2</v>
      </c>
      <c r="M99">
        <v>2</v>
      </c>
      <c r="N99" s="8">
        <v>3</v>
      </c>
      <c r="O99">
        <v>0</v>
      </c>
      <c r="P99" s="9">
        <v>0</v>
      </c>
      <c r="Q99" s="9" t="s">
        <v>29</v>
      </c>
    </row>
    <row r="100" spans="1:17">
      <c r="A100">
        <v>94</v>
      </c>
      <c r="B100" s="11" t="s">
        <v>121</v>
      </c>
      <c r="C100" s="11"/>
      <c r="D100" s="203"/>
      <c r="E100" s="206"/>
      <c r="F100" s="207"/>
      <c r="H100" s="15">
        <v>3</v>
      </c>
      <c r="I100" s="6">
        <v>2</v>
      </c>
      <c r="J100" s="6">
        <v>0</v>
      </c>
      <c r="K100" s="7">
        <v>0</v>
      </c>
      <c r="L100">
        <v>1</v>
      </c>
      <c r="M100">
        <v>2</v>
      </c>
      <c r="N100" s="8">
        <v>3</v>
      </c>
      <c r="O100">
        <v>0</v>
      </c>
      <c r="P100" s="9">
        <v>0</v>
      </c>
      <c r="Q100" s="9" t="s">
        <v>29</v>
      </c>
    </row>
    <row r="101" spans="1:17">
      <c r="A101">
        <v>95</v>
      </c>
      <c r="B101" s="11" t="s">
        <v>122</v>
      </c>
      <c r="C101" s="11"/>
      <c r="D101" s="203"/>
      <c r="E101" s="206"/>
      <c r="F101" s="207"/>
      <c r="H101" s="15">
        <v>3</v>
      </c>
      <c r="I101" s="6">
        <v>2</v>
      </c>
      <c r="J101" s="6">
        <v>0</v>
      </c>
      <c r="K101" s="7">
        <v>0</v>
      </c>
      <c r="L101">
        <v>2</v>
      </c>
      <c r="M101">
        <v>2</v>
      </c>
      <c r="N101" s="8">
        <v>3</v>
      </c>
      <c r="O101">
        <v>0</v>
      </c>
      <c r="P101" s="9">
        <v>0</v>
      </c>
      <c r="Q101" s="9" t="s">
        <v>29</v>
      </c>
    </row>
    <row r="102" spans="1:17">
      <c r="A102">
        <v>96</v>
      </c>
      <c r="B102" s="11" t="s">
        <v>123</v>
      </c>
      <c r="C102" s="11"/>
      <c r="D102" s="203"/>
      <c r="E102" s="206"/>
      <c r="F102" s="207"/>
      <c r="H102" s="15">
        <v>3</v>
      </c>
      <c r="I102" s="6">
        <v>2</v>
      </c>
      <c r="J102" s="6">
        <v>0</v>
      </c>
      <c r="K102" s="7">
        <v>0</v>
      </c>
      <c r="L102">
        <v>1</v>
      </c>
      <c r="M102">
        <v>2</v>
      </c>
      <c r="N102" s="8">
        <v>3</v>
      </c>
      <c r="O102">
        <v>0</v>
      </c>
      <c r="P102" s="9">
        <v>0</v>
      </c>
      <c r="Q102" s="9" t="s">
        <v>29</v>
      </c>
    </row>
    <row r="103" spans="1:17">
      <c r="A103">
        <v>97</v>
      </c>
      <c r="B103" s="11" t="s">
        <v>124</v>
      </c>
      <c r="C103" s="11"/>
      <c r="D103" s="203"/>
      <c r="E103" s="206"/>
      <c r="F103" s="207"/>
      <c r="H103" s="15">
        <v>3</v>
      </c>
      <c r="I103" s="6">
        <v>2</v>
      </c>
      <c r="J103" s="6">
        <v>0</v>
      </c>
      <c r="K103" s="19">
        <v>0</v>
      </c>
      <c r="L103">
        <v>1</v>
      </c>
      <c r="M103">
        <v>2</v>
      </c>
      <c r="N103" s="8">
        <v>3</v>
      </c>
      <c r="O103">
        <v>0</v>
      </c>
      <c r="P103" s="9">
        <v>0</v>
      </c>
      <c r="Q103" s="9" t="s">
        <v>27</v>
      </c>
    </row>
    <row r="104" spans="1:17">
      <c r="A104">
        <v>98</v>
      </c>
      <c r="B104" s="11" t="s">
        <v>125</v>
      </c>
      <c r="C104" s="11"/>
      <c r="D104" s="203"/>
      <c r="E104" s="206"/>
      <c r="F104" s="207"/>
      <c r="H104" s="6">
        <v>2</v>
      </c>
      <c r="I104" s="15">
        <v>3</v>
      </c>
      <c r="J104" s="6">
        <v>1</v>
      </c>
      <c r="K104" s="7">
        <v>0</v>
      </c>
      <c r="L104">
        <v>0</v>
      </c>
      <c r="M104">
        <v>2</v>
      </c>
      <c r="N104">
        <v>0</v>
      </c>
      <c r="O104" s="8">
        <v>4</v>
      </c>
      <c r="P104" s="9">
        <v>0</v>
      </c>
      <c r="Q104" s="9" t="s">
        <v>27</v>
      </c>
    </row>
    <row r="105" spans="1:17">
      <c r="A105">
        <v>99</v>
      </c>
      <c r="B105" s="11" t="s">
        <v>126</v>
      </c>
      <c r="C105" s="11"/>
      <c r="D105" s="23"/>
      <c r="E105" s="205"/>
      <c r="F105" s="207"/>
      <c r="H105" s="6">
        <v>2</v>
      </c>
      <c r="I105" s="15">
        <v>3</v>
      </c>
      <c r="J105" s="6">
        <v>1</v>
      </c>
      <c r="K105" s="7">
        <v>0</v>
      </c>
      <c r="L105">
        <v>0</v>
      </c>
      <c r="M105">
        <v>2</v>
      </c>
      <c r="N105">
        <v>0</v>
      </c>
      <c r="O105" s="8">
        <v>4</v>
      </c>
      <c r="P105" s="9">
        <v>0</v>
      </c>
      <c r="Q105" s="9" t="s">
        <v>29</v>
      </c>
    </row>
    <row r="106" spans="1:17">
      <c r="A106">
        <v>100</v>
      </c>
      <c r="B106" s="11" t="s">
        <v>127</v>
      </c>
      <c r="C106" s="11"/>
      <c r="D106" s="23"/>
      <c r="E106" s="205"/>
      <c r="F106" s="208"/>
      <c r="G106" s="16"/>
      <c r="H106" s="6">
        <v>2</v>
      </c>
      <c r="I106" s="15">
        <v>3</v>
      </c>
      <c r="J106" s="6">
        <v>1</v>
      </c>
      <c r="K106" s="19">
        <v>1</v>
      </c>
      <c r="L106">
        <v>0</v>
      </c>
      <c r="M106">
        <v>1</v>
      </c>
      <c r="N106">
        <v>0</v>
      </c>
      <c r="O106" s="8">
        <v>4</v>
      </c>
      <c r="P106" s="9">
        <v>0</v>
      </c>
      <c r="Q106" s="9" t="s">
        <v>27</v>
      </c>
    </row>
    <row r="107" spans="1:17">
      <c r="A107"/>
      <c r="B107" s="30" t="s">
        <v>10</v>
      </c>
      <c r="C107" s="30"/>
      <c r="D107" s="23"/>
      <c r="E107" s="205"/>
      <c r="F107"/>
      <c r="J107"/>
      <c r="K107" s="9"/>
      <c r="O107"/>
      <c r="Q107" s="9"/>
    </row>
    <row r="108" spans="1:17">
      <c r="A108"/>
      <c r="B108" s="30" t="s">
        <v>139</v>
      </c>
      <c r="C108" s="30"/>
      <c r="D108" s="23"/>
      <c r="E108" s="205"/>
      <c r="F108" s="64"/>
      <c r="G108" s="31"/>
      <c r="J108"/>
      <c r="K108" s="9"/>
      <c r="O108"/>
      <c r="Q108" s="9"/>
    </row>
    <row r="109" spans="1:17">
      <c r="A109"/>
      <c r="B109" s="30" t="s">
        <v>11</v>
      </c>
      <c r="C109" s="30"/>
      <c r="D109" s="23"/>
      <c r="E109" s="205"/>
      <c r="F109" s="64"/>
      <c r="G109" s="31"/>
      <c r="J109"/>
      <c r="K109" s="9"/>
      <c r="O109"/>
      <c r="Q109" s="9"/>
    </row>
    <row r="110" spans="1:17">
      <c r="A110"/>
      <c r="B110" s="30" t="s">
        <v>140</v>
      </c>
      <c r="C110" s="30"/>
      <c r="F110" s="64"/>
      <c r="G110" s="64"/>
      <c r="J110"/>
      <c r="K110" s="9"/>
      <c r="O110"/>
      <c r="Q110" s="9"/>
    </row>
    <row r="111" spans="1:17">
      <c r="A111"/>
      <c r="B111" s="30" t="s">
        <v>141</v>
      </c>
      <c r="C111" s="30"/>
      <c r="F111" s="64"/>
      <c r="G111" s="64"/>
      <c r="J111"/>
      <c r="K111" s="9"/>
      <c r="O111"/>
      <c r="Q111" s="9"/>
    </row>
    <row r="112" spans="1:17">
      <c r="A112" s="141" t="s">
        <v>139</v>
      </c>
      <c r="B112" s="148"/>
      <c r="C112" s="149"/>
      <c r="D112" s="150"/>
      <c r="E112" s="151"/>
      <c r="F112" s="152"/>
      <c r="G112" s="210"/>
      <c r="H112" s="143"/>
      <c r="I112" s="143"/>
      <c r="J112" s="143"/>
      <c r="K112" s="143"/>
      <c r="L112" s="143"/>
      <c r="M112" s="143"/>
      <c r="N112" s="143"/>
      <c r="O112" s="143"/>
      <c r="P112" s="144"/>
    </row>
    <row r="113" spans="1:16">
      <c r="A113" s="141" t="s">
        <v>11</v>
      </c>
      <c r="B113" s="148"/>
      <c r="C113" s="149"/>
      <c r="D113" s="150"/>
      <c r="E113" s="151"/>
      <c r="F113" s="152"/>
      <c r="G113" s="142"/>
      <c r="H113" s="143"/>
      <c r="I113" s="143"/>
      <c r="J113" s="143"/>
      <c r="K113" s="143"/>
      <c r="L113" s="143"/>
      <c r="M113" s="143"/>
      <c r="N113" s="143"/>
      <c r="O113" s="143"/>
      <c r="P113" s="144"/>
    </row>
    <row r="114" spans="1:16">
      <c r="A114" s="141" t="s">
        <v>140</v>
      </c>
      <c r="B114" s="148"/>
      <c r="C114" s="149"/>
      <c r="D114" s="150"/>
      <c r="E114" s="151"/>
      <c r="F114" s="152"/>
      <c r="G114" s="142"/>
      <c r="H114" s="143"/>
      <c r="I114" s="143"/>
      <c r="J114" s="143"/>
      <c r="K114" s="143"/>
      <c r="L114" s="143"/>
      <c r="M114" s="143"/>
      <c r="N114" s="143"/>
      <c r="O114" s="143"/>
      <c r="P114" s="144"/>
    </row>
    <row r="115" spans="1:16">
      <c r="A115" s="141" t="s">
        <v>141</v>
      </c>
      <c r="B115" s="148"/>
      <c r="C115" s="149"/>
      <c r="D115" s="150"/>
      <c r="E115" s="151"/>
      <c r="F115" s="152"/>
      <c r="G115" s="145"/>
      <c r="H115" s="146"/>
      <c r="I115" s="146"/>
      <c r="J115" s="146"/>
      <c r="K115" s="146"/>
      <c r="L115" s="146"/>
      <c r="M115" s="146"/>
      <c r="N115" s="146"/>
      <c r="O115" s="146"/>
      <c r="P115" s="147"/>
    </row>
    <row r="120" spans="1:16">
      <c r="A120" s="13"/>
      <c r="B120" s="13"/>
      <c r="C120" s="65"/>
      <c r="D120" s="65"/>
      <c r="E120" s="65"/>
      <c r="F120" s="14"/>
    </row>
    <row r="121" spans="1:16">
      <c r="A121" s="13"/>
      <c r="B121" s="13"/>
      <c r="C121" s="65"/>
      <c r="D121" s="65"/>
      <c r="E121" s="65"/>
      <c r="F121" s="14"/>
    </row>
    <row r="122" spans="1:16">
      <c r="A122" s="13"/>
      <c r="B122" s="13"/>
      <c r="C122" s="65"/>
      <c r="D122" s="65"/>
      <c r="E122" s="65"/>
      <c r="F122" s="14"/>
    </row>
    <row r="123" spans="1:16">
      <c r="A123" s="13"/>
      <c r="B123" s="13"/>
      <c r="C123" s="65"/>
      <c r="D123" s="65"/>
      <c r="E123" s="65"/>
      <c r="F123" s="14"/>
    </row>
    <row r="124" spans="1:16">
      <c r="A124" s="13"/>
      <c r="B124" s="13"/>
      <c r="C124" s="65"/>
      <c r="D124" s="65"/>
      <c r="E124" s="65"/>
      <c r="F124" s="14"/>
    </row>
    <row r="125" spans="1:16">
      <c r="A125" s="13"/>
      <c r="B125" s="13"/>
      <c r="C125" s="65"/>
      <c r="D125" s="65"/>
      <c r="E125" s="65"/>
      <c r="F125" s="14"/>
    </row>
    <row r="126" spans="1:16">
      <c r="A126" s="13"/>
      <c r="B126" s="13"/>
      <c r="C126" s="65"/>
      <c r="D126" s="65"/>
      <c r="E126" s="65"/>
      <c r="F126" s="14"/>
    </row>
    <row r="127" spans="1:16">
      <c r="A127" s="13"/>
      <c r="B127" s="13"/>
      <c r="C127" s="65"/>
      <c r="D127" s="65"/>
      <c r="E127" s="65"/>
      <c r="F127" s="14"/>
    </row>
    <row r="128" spans="1:16">
      <c r="A128" s="13"/>
      <c r="B128" s="13"/>
      <c r="C128" s="65"/>
      <c r="D128" s="65"/>
      <c r="E128" s="65"/>
      <c r="F128" s="14"/>
    </row>
    <row r="129" spans="1:6">
      <c r="A129" s="13"/>
      <c r="B129" s="13"/>
      <c r="C129" s="65"/>
      <c r="D129" s="65"/>
      <c r="E129" s="65"/>
      <c r="F129" s="14"/>
    </row>
    <row r="130" spans="1:6">
      <c r="A130" s="13"/>
      <c r="B130" s="13"/>
      <c r="C130" s="65"/>
      <c r="D130" s="65"/>
      <c r="E130" s="65"/>
      <c r="F130" s="14"/>
    </row>
    <row r="131" spans="1:6">
      <c r="A131" s="13"/>
      <c r="B131" s="13"/>
      <c r="C131" s="65"/>
      <c r="D131" s="65"/>
      <c r="E131" s="65"/>
      <c r="F131" s="14"/>
    </row>
  </sheetData>
  <phoneticPr fontId="0" type="noConversion"/>
  <pageMargins left="0.25" right="0.25" top="1" bottom="1" header="0.5" footer="0.5"/>
  <pageSetup paperSize="9" scale="70" fitToHeight="2" orientation="portrait" r:id="rId1"/>
  <headerFooter alignWithMargins="0"/>
  <customProperties>
    <customPr name="DVSECTIONID" r:id="rId2"/>
  </customProperties>
  <legacyDrawing r:id="rId3"/>
</worksheet>
</file>

<file path=xl/worksheets/sheet8.xml><?xml version="1.0" encoding="utf-8"?>
<worksheet xmlns="http://schemas.openxmlformats.org/spreadsheetml/2006/main" xmlns:r="http://schemas.openxmlformats.org/officeDocument/2006/relationships">
  <sheetPr codeName="Sheet8"/>
  <dimension ref="A1:O192"/>
  <sheetViews>
    <sheetView topLeftCell="A103" workbookViewId="0">
      <selection activeCell="A163" sqref="A163"/>
    </sheetView>
  </sheetViews>
  <sheetFormatPr defaultRowHeight="13.2"/>
  <cols>
    <col min="1" max="1" width="28.6640625" style="30" customWidth="1"/>
    <col min="2" max="2" width="8.33203125" style="30" customWidth="1"/>
    <col min="3" max="3" width="9.5546875" style="64" customWidth="1"/>
    <col min="4" max="4" width="6.109375" style="64" customWidth="1"/>
    <col min="5" max="5" width="10.33203125" style="31" customWidth="1"/>
    <col min="6" max="8" width="6" customWidth="1"/>
    <col min="9" max="9" width="6" style="9" customWidth="1"/>
    <col min="10" max="10" width="9.6640625" customWidth="1"/>
    <col min="11" max="11" width="9.5546875" customWidth="1"/>
    <col min="12" max="12" width="4.6640625" customWidth="1"/>
    <col min="13" max="13" width="5.109375" customWidth="1"/>
    <col min="14" max="14" width="7.6640625" style="9" customWidth="1"/>
    <col min="15" max="15" width="11" style="9" customWidth="1"/>
  </cols>
  <sheetData>
    <row r="1" spans="1:15" s="3" customFormat="1">
      <c r="A1" s="1" t="s">
        <v>14</v>
      </c>
      <c r="B1" s="1" t="s">
        <v>248</v>
      </c>
      <c r="C1" s="61" t="s">
        <v>138</v>
      </c>
      <c r="D1" s="61" t="s">
        <v>10</v>
      </c>
      <c r="E1" s="2" t="s">
        <v>15</v>
      </c>
      <c r="F1" s="3" t="s">
        <v>16</v>
      </c>
      <c r="G1" s="3" t="s">
        <v>17</v>
      </c>
      <c r="H1" s="3" t="s">
        <v>18</v>
      </c>
      <c r="I1" s="32" t="s">
        <v>19</v>
      </c>
      <c r="J1" s="3" t="s">
        <v>20</v>
      </c>
      <c r="K1" s="3" t="s">
        <v>21</v>
      </c>
      <c r="L1" s="3" t="s">
        <v>22</v>
      </c>
      <c r="M1" s="3" t="s">
        <v>23</v>
      </c>
      <c r="N1" s="32" t="s">
        <v>24</v>
      </c>
      <c r="O1" s="32" t="s">
        <v>25</v>
      </c>
    </row>
    <row r="2" spans="1:15">
      <c r="A2" s="4" t="s">
        <v>26</v>
      </c>
      <c r="B2" s="4"/>
      <c r="C2" s="63"/>
      <c r="D2" s="63"/>
      <c r="E2" s="5"/>
      <c r="F2" s="6">
        <v>2</v>
      </c>
      <c r="G2" s="6">
        <v>2</v>
      </c>
      <c r="H2" s="6">
        <v>2</v>
      </c>
      <c r="I2" s="7">
        <v>2</v>
      </c>
      <c r="J2" s="8">
        <v>3</v>
      </c>
      <c r="K2">
        <v>2</v>
      </c>
      <c r="L2">
        <v>1</v>
      </c>
      <c r="M2">
        <v>0</v>
      </c>
      <c r="N2" s="9">
        <v>0</v>
      </c>
      <c r="O2" s="9" t="s">
        <v>27</v>
      </c>
    </row>
    <row r="3" spans="1:15">
      <c r="A3" s="4" t="s">
        <v>28</v>
      </c>
      <c r="B3" s="4"/>
      <c r="C3" s="63"/>
      <c r="D3" s="63"/>
      <c r="E3" s="5"/>
      <c r="F3" s="6">
        <v>2</v>
      </c>
      <c r="G3" s="6">
        <v>2</v>
      </c>
      <c r="H3" s="6">
        <v>1</v>
      </c>
      <c r="I3" s="7">
        <v>0</v>
      </c>
      <c r="J3">
        <v>2</v>
      </c>
      <c r="K3">
        <v>2</v>
      </c>
      <c r="L3">
        <v>1</v>
      </c>
      <c r="M3">
        <v>0</v>
      </c>
      <c r="N3" s="9">
        <v>0</v>
      </c>
      <c r="O3" s="9" t="s">
        <v>29</v>
      </c>
    </row>
    <row r="4" spans="1:15">
      <c r="A4" s="4" t="s">
        <v>30</v>
      </c>
      <c r="B4" s="4"/>
      <c r="C4" s="63"/>
      <c r="D4" s="63"/>
      <c r="E4" s="5"/>
      <c r="F4">
        <v>1</v>
      </c>
      <c r="G4">
        <v>2</v>
      </c>
      <c r="H4">
        <v>3</v>
      </c>
      <c r="I4" s="10">
        <v>4</v>
      </c>
      <c r="J4">
        <v>1</v>
      </c>
      <c r="K4" s="8">
        <v>4</v>
      </c>
      <c r="L4">
        <v>0</v>
      </c>
      <c r="M4">
        <v>0</v>
      </c>
      <c r="N4" s="9">
        <v>0</v>
      </c>
      <c r="O4" s="9" t="s">
        <v>29</v>
      </c>
    </row>
    <row r="5" spans="1:15">
      <c r="A5" s="4" t="s">
        <v>9</v>
      </c>
      <c r="B5" s="4"/>
      <c r="C5" s="63"/>
      <c r="D5" s="63"/>
      <c r="E5" s="5"/>
      <c r="F5">
        <v>2</v>
      </c>
      <c r="G5">
        <v>2</v>
      </c>
      <c r="H5">
        <v>2</v>
      </c>
      <c r="I5" s="9">
        <v>1</v>
      </c>
      <c r="J5">
        <v>0</v>
      </c>
      <c r="K5">
        <v>1</v>
      </c>
      <c r="L5">
        <v>0</v>
      </c>
      <c r="M5" s="8">
        <v>4</v>
      </c>
      <c r="N5" s="9">
        <v>0</v>
      </c>
      <c r="O5" s="9" t="s">
        <v>29</v>
      </c>
    </row>
    <row r="6" spans="1:15">
      <c r="A6" s="11" t="s">
        <v>220</v>
      </c>
      <c r="B6" s="11"/>
      <c r="C6" s="63"/>
      <c r="D6" s="63"/>
      <c r="E6" s="5"/>
      <c r="F6">
        <v>2</v>
      </c>
      <c r="G6">
        <v>3</v>
      </c>
      <c r="H6" s="8">
        <v>4</v>
      </c>
      <c r="I6" s="9">
        <v>3</v>
      </c>
      <c r="J6">
        <v>3</v>
      </c>
      <c r="K6">
        <v>3</v>
      </c>
      <c r="L6">
        <v>1</v>
      </c>
      <c r="M6">
        <v>0</v>
      </c>
      <c r="N6" s="9">
        <v>0</v>
      </c>
    </row>
    <row r="7" spans="1:15">
      <c r="A7" s="13" t="s">
        <v>221</v>
      </c>
      <c r="B7" s="13"/>
      <c r="C7" s="63"/>
      <c r="D7" s="63"/>
      <c r="E7" s="5"/>
      <c r="F7">
        <v>2</v>
      </c>
      <c r="G7">
        <v>2</v>
      </c>
      <c r="H7" s="8">
        <v>3</v>
      </c>
      <c r="I7" s="9">
        <v>0</v>
      </c>
      <c r="J7">
        <v>3</v>
      </c>
      <c r="K7">
        <v>3</v>
      </c>
      <c r="L7">
        <v>1</v>
      </c>
      <c r="M7">
        <v>0</v>
      </c>
      <c r="N7" s="9">
        <v>0</v>
      </c>
    </row>
    <row r="8" spans="1:15">
      <c r="A8" s="11" t="s">
        <v>222</v>
      </c>
      <c r="B8" s="11"/>
      <c r="C8" s="63"/>
      <c r="D8" s="63"/>
      <c r="E8" s="5"/>
      <c r="F8">
        <v>2</v>
      </c>
      <c r="G8">
        <v>3</v>
      </c>
      <c r="H8" s="8">
        <v>4</v>
      </c>
      <c r="I8" s="9">
        <v>3</v>
      </c>
    </row>
    <row r="9" spans="1:15">
      <c r="A9" s="4" t="s">
        <v>31</v>
      </c>
      <c r="B9" s="4"/>
      <c r="C9" s="63"/>
      <c r="D9" s="63"/>
      <c r="E9" s="5"/>
      <c r="F9" s="6">
        <v>2</v>
      </c>
      <c r="G9" s="6">
        <v>2</v>
      </c>
      <c r="H9" s="6">
        <v>1</v>
      </c>
      <c r="I9" s="7">
        <v>1</v>
      </c>
      <c r="J9">
        <v>0</v>
      </c>
      <c r="K9" s="8">
        <v>4</v>
      </c>
      <c r="L9">
        <v>1</v>
      </c>
      <c r="M9">
        <v>1</v>
      </c>
      <c r="N9" s="9">
        <v>0</v>
      </c>
      <c r="O9" s="9" t="s">
        <v>29</v>
      </c>
    </row>
    <row r="10" spans="1:15">
      <c r="A10" s="11" t="s">
        <v>32</v>
      </c>
      <c r="B10" s="11"/>
      <c r="C10" s="27"/>
      <c r="D10" s="27"/>
      <c r="E10" s="12"/>
      <c r="F10" s="6">
        <v>1</v>
      </c>
      <c r="G10" s="6">
        <v>2</v>
      </c>
      <c r="H10" s="15">
        <v>3</v>
      </c>
      <c r="I10" s="7">
        <v>2</v>
      </c>
      <c r="J10" s="16">
        <v>0</v>
      </c>
      <c r="K10" s="16">
        <v>2</v>
      </c>
      <c r="L10" s="16">
        <v>2</v>
      </c>
      <c r="M10" s="17">
        <v>3</v>
      </c>
      <c r="N10" s="18">
        <v>0</v>
      </c>
      <c r="O10" s="9" t="s">
        <v>33</v>
      </c>
    </row>
    <row r="11" spans="1:15">
      <c r="A11" s="11" t="s">
        <v>34</v>
      </c>
      <c r="B11" s="11"/>
      <c r="C11" s="27"/>
      <c r="D11" s="27"/>
      <c r="E11" s="12"/>
      <c r="F11" s="6">
        <v>1</v>
      </c>
      <c r="G11" s="6">
        <v>1</v>
      </c>
      <c r="H11" s="15">
        <v>3</v>
      </c>
      <c r="I11" s="7">
        <v>2</v>
      </c>
      <c r="J11">
        <v>0</v>
      </c>
      <c r="K11" s="8">
        <v>3</v>
      </c>
      <c r="L11">
        <v>1</v>
      </c>
      <c r="M11">
        <v>1</v>
      </c>
      <c r="N11" s="9">
        <v>0</v>
      </c>
      <c r="O11" s="9" t="s">
        <v>29</v>
      </c>
    </row>
    <row r="12" spans="1:15">
      <c r="A12" s="11" t="s">
        <v>35</v>
      </c>
      <c r="B12" s="11"/>
      <c r="C12" s="27"/>
      <c r="D12" s="27"/>
      <c r="E12" s="12"/>
      <c r="F12" s="6">
        <v>2</v>
      </c>
      <c r="G12" s="6">
        <v>2</v>
      </c>
      <c r="H12" s="6">
        <v>0</v>
      </c>
      <c r="I12" s="7">
        <v>0</v>
      </c>
      <c r="J12">
        <v>0</v>
      </c>
      <c r="K12">
        <v>1</v>
      </c>
      <c r="L12" s="8">
        <v>4</v>
      </c>
      <c r="M12">
        <v>1</v>
      </c>
      <c r="N12" s="9">
        <v>0</v>
      </c>
      <c r="O12" s="9" t="s">
        <v>36</v>
      </c>
    </row>
    <row r="13" spans="1:15">
      <c r="A13" s="11" t="s">
        <v>37</v>
      </c>
      <c r="B13" s="11"/>
      <c r="C13" s="27"/>
      <c r="D13" s="27"/>
      <c r="E13" s="12"/>
      <c r="F13" s="6">
        <v>0</v>
      </c>
      <c r="G13" s="6">
        <v>2</v>
      </c>
      <c r="H13" s="6">
        <v>2</v>
      </c>
      <c r="I13" s="19">
        <v>3</v>
      </c>
      <c r="J13">
        <v>0</v>
      </c>
      <c r="K13" s="8">
        <v>3</v>
      </c>
      <c r="L13">
        <v>0</v>
      </c>
      <c r="M13">
        <v>0</v>
      </c>
      <c r="N13" s="9">
        <v>0</v>
      </c>
      <c r="O13" s="9" t="s">
        <v>36</v>
      </c>
    </row>
    <row r="14" spans="1:15">
      <c r="A14" s="11" t="s">
        <v>38</v>
      </c>
      <c r="B14" s="11"/>
      <c r="C14" s="27"/>
      <c r="D14" s="27"/>
      <c r="E14" s="12"/>
      <c r="F14">
        <v>0</v>
      </c>
      <c r="G14">
        <v>2</v>
      </c>
      <c r="H14">
        <v>2</v>
      </c>
      <c r="I14" s="9">
        <v>0</v>
      </c>
      <c r="J14">
        <v>1</v>
      </c>
      <c r="K14">
        <v>1</v>
      </c>
      <c r="L14" s="21">
        <v>2</v>
      </c>
      <c r="M14" s="8">
        <v>3</v>
      </c>
      <c r="N14" s="9">
        <v>1</v>
      </c>
      <c r="O14" s="9" t="s">
        <v>36</v>
      </c>
    </row>
    <row r="15" spans="1:15">
      <c r="A15" s="11" t="s">
        <v>39</v>
      </c>
      <c r="B15" s="11"/>
      <c r="C15" s="27"/>
      <c r="D15" s="27"/>
      <c r="E15" s="12"/>
      <c r="F15" s="20">
        <v>1</v>
      </c>
      <c r="G15" s="6">
        <v>1</v>
      </c>
      <c r="H15" s="6">
        <v>2</v>
      </c>
      <c r="I15" s="19">
        <v>4</v>
      </c>
      <c r="J15">
        <v>1</v>
      </c>
      <c r="K15" s="8">
        <v>4</v>
      </c>
      <c r="L15">
        <v>1</v>
      </c>
      <c r="M15">
        <v>0</v>
      </c>
      <c r="N15" s="9">
        <v>0</v>
      </c>
      <c r="O15" s="9" t="s">
        <v>33</v>
      </c>
    </row>
    <row r="16" spans="1:15">
      <c r="A16" s="11" t="s">
        <v>40</v>
      </c>
      <c r="B16" s="11"/>
      <c r="C16" s="27"/>
      <c r="D16" s="27"/>
      <c r="E16" s="12"/>
      <c r="F16">
        <v>1</v>
      </c>
      <c r="G16">
        <v>1</v>
      </c>
      <c r="H16">
        <v>1</v>
      </c>
      <c r="I16" s="10">
        <v>5</v>
      </c>
      <c r="J16">
        <v>1</v>
      </c>
      <c r="K16" s="8">
        <v>4</v>
      </c>
      <c r="L16">
        <v>1</v>
      </c>
      <c r="M16">
        <v>0</v>
      </c>
      <c r="N16" s="9">
        <v>0</v>
      </c>
      <c r="O16" s="9" t="s">
        <v>33</v>
      </c>
    </row>
    <row r="17" spans="1:15">
      <c r="A17" s="13" t="s">
        <v>225</v>
      </c>
      <c r="B17" s="13"/>
      <c r="C17" s="27"/>
      <c r="D17" s="27"/>
      <c r="E17" s="12"/>
      <c r="F17">
        <v>1</v>
      </c>
      <c r="G17">
        <v>1</v>
      </c>
      <c r="H17">
        <v>1</v>
      </c>
      <c r="I17" s="10">
        <v>5</v>
      </c>
      <c r="J17">
        <v>1</v>
      </c>
      <c r="K17" s="8">
        <v>4</v>
      </c>
      <c r="L17">
        <v>1</v>
      </c>
      <c r="M17">
        <v>0</v>
      </c>
      <c r="N17" s="9">
        <v>0</v>
      </c>
    </row>
    <row r="18" spans="1:15">
      <c r="A18" s="11" t="s">
        <v>41</v>
      </c>
      <c r="B18" s="11"/>
      <c r="C18" s="27"/>
      <c r="D18" s="27"/>
      <c r="E18" s="12"/>
      <c r="F18" s="21">
        <v>2</v>
      </c>
      <c r="G18" s="21">
        <v>2</v>
      </c>
      <c r="H18" s="21">
        <v>2</v>
      </c>
      <c r="I18" s="22">
        <v>2</v>
      </c>
      <c r="J18">
        <v>2</v>
      </c>
      <c r="K18">
        <v>2</v>
      </c>
      <c r="L18">
        <v>2</v>
      </c>
      <c r="M18">
        <v>2</v>
      </c>
      <c r="N18" s="9">
        <v>1</v>
      </c>
      <c r="O18" s="9" t="s">
        <v>27</v>
      </c>
    </row>
    <row r="19" spans="1:15">
      <c r="A19" s="11" t="s">
        <v>42</v>
      </c>
      <c r="B19" s="11"/>
      <c r="C19" s="27"/>
      <c r="D19" s="27"/>
      <c r="E19" s="12"/>
      <c r="F19" s="21">
        <v>2</v>
      </c>
      <c r="G19" s="21">
        <v>2</v>
      </c>
      <c r="H19" s="21">
        <v>2</v>
      </c>
      <c r="I19" s="22">
        <v>2</v>
      </c>
      <c r="J19">
        <v>2</v>
      </c>
      <c r="K19">
        <v>2</v>
      </c>
      <c r="L19">
        <v>2</v>
      </c>
      <c r="M19">
        <v>2</v>
      </c>
      <c r="N19" s="9">
        <v>1</v>
      </c>
      <c r="O19" s="9" t="s">
        <v>27</v>
      </c>
    </row>
    <row r="20" spans="1:15">
      <c r="A20" s="11" t="s">
        <v>43</v>
      </c>
      <c r="B20" s="11"/>
      <c r="C20" s="27"/>
      <c r="D20" s="27"/>
      <c r="E20" s="12"/>
      <c r="F20" s="21">
        <v>2</v>
      </c>
      <c r="G20" s="21">
        <v>2</v>
      </c>
      <c r="H20" s="21">
        <v>2</v>
      </c>
      <c r="I20" s="22">
        <v>2</v>
      </c>
      <c r="J20">
        <v>2</v>
      </c>
      <c r="K20">
        <v>2</v>
      </c>
      <c r="L20">
        <v>2</v>
      </c>
      <c r="M20">
        <v>2</v>
      </c>
      <c r="N20" s="9">
        <v>1</v>
      </c>
      <c r="O20" s="9" t="s">
        <v>33</v>
      </c>
    </row>
    <row r="21" spans="1:15">
      <c r="A21" s="13" t="s">
        <v>169</v>
      </c>
      <c r="B21" s="13"/>
      <c r="C21" s="27"/>
      <c r="D21" s="27"/>
      <c r="E21" s="12"/>
      <c r="F21" s="23">
        <v>1</v>
      </c>
      <c r="G21" s="23">
        <v>1</v>
      </c>
      <c r="H21" s="23">
        <v>2</v>
      </c>
      <c r="I21" s="24">
        <v>5</v>
      </c>
      <c r="J21">
        <v>1</v>
      </c>
      <c r="K21" s="8">
        <v>3</v>
      </c>
      <c r="L21">
        <v>1</v>
      </c>
      <c r="M21">
        <v>1</v>
      </c>
      <c r="N21" s="9">
        <v>1</v>
      </c>
    </row>
    <row r="22" spans="1:15">
      <c r="A22" s="13" t="s">
        <v>170</v>
      </c>
      <c r="B22" s="13"/>
      <c r="C22" s="27"/>
      <c r="D22" s="27"/>
      <c r="E22" s="12"/>
      <c r="F22" s="23">
        <v>0</v>
      </c>
      <c r="G22" s="23">
        <v>1</v>
      </c>
      <c r="H22" s="23">
        <v>2</v>
      </c>
      <c r="I22" s="24">
        <v>3</v>
      </c>
    </row>
    <row r="23" spans="1:15">
      <c r="A23" s="13" t="s">
        <v>171</v>
      </c>
      <c r="B23" s="13"/>
      <c r="C23" s="27"/>
      <c r="D23" s="27"/>
      <c r="E23" s="12"/>
      <c r="F23" s="23">
        <v>0</v>
      </c>
      <c r="G23" s="23">
        <v>2</v>
      </c>
      <c r="H23" s="23">
        <v>2</v>
      </c>
      <c r="I23" s="24">
        <v>3</v>
      </c>
      <c r="J23">
        <v>1</v>
      </c>
      <c r="K23" s="8">
        <v>3</v>
      </c>
      <c r="L23">
        <v>1</v>
      </c>
      <c r="M23">
        <v>1</v>
      </c>
      <c r="N23" s="9">
        <v>1</v>
      </c>
    </row>
    <row r="24" spans="1:15">
      <c r="A24" s="13" t="s">
        <v>172</v>
      </c>
      <c r="B24" s="13"/>
      <c r="C24" s="27"/>
      <c r="D24" s="27"/>
      <c r="E24" s="12"/>
      <c r="F24" s="23">
        <v>0</v>
      </c>
      <c r="G24" s="23">
        <v>0</v>
      </c>
      <c r="H24" s="17">
        <v>4</v>
      </c>
      <c r="I24" s="25">
        <v>2</v>
      </c>
      <c r="J24">
        <v>1</v>
      </c>
      <c r="K24" s="8">
        <v>4</v>
      </c>
      <c r="L24">
        <v>1</v>
      </c>
      <c r="M24">
        <v>1</v>
      </c>
      <c r="N24" s="9">
        <v>1</v>
      </c>
    </row>
    <row r="25" spans="1:15">
      <c r="A25" s="13" t="s">
        <v>173</v>
      </c>
      <c r="B25" s="13"/>
      <c r="C25" s="27"/>
      <c r="D25" s="27"/>
      <c r="E25" s="12"/>
      <c r="F25" s="23">
        <v>1</v>
      </c>
      <c r="G25" s="23">
        <v>2</v>
      </c>
      <c r="H25" s="23">
        <v>2</v>
      </c>
      <c r="I25" s="24">
        <v>3</v>
      </c>
    </row>
    <row r="26" spans="1:15">
      <c r="A26" s="13" t="s">
        <v>174</v>
      </c>
      <c r="B26" s="13"/>
      <c r="C26" s="27"/>
      <c r="D26" s="27"/>
      <c r="E26" s="12"/>
      <c r="F26" s="23">
        <v>0</v>
      </c>
      <c r="G26" s="23">
        <v>0</v>
      </c>
      <c r="H26" s="23">
        <v>1</v>
      </c>
      <c r="I26" s="24">
        <v>5</v>
      </c>
      <c r="J26">
        <v>1</v>
      </c>
      <c r="K26" s="8">
        <v>3</v>
      </c>
      <c r="L26">
        <v>1</v>
      </c>
      <c r="M26">
        <v>1</v>
      </c>
      <c r="N26" s="9">
        <v>1</v>
      </c>
    </row>
    <row r="27" spans="1:15">
      <c r="A27" s="13" t="s">
        <v>175</v>
      </c>
      <c r="B27" s="13"/>
      <c r="C27" s="27"/>
      <c r="D27" s="27"/>
      <c r="E27" s="12"/>
      <c r="F27" s="17">
        <v>3</v>
      </c>
      <c r="G27" s="23">
        <v>2</v>
      </c>
      <c r="H27" s="23">
        <v>1</v>
      </c>
      <c r="I27" s="25">
        <v>0</v>
      </c>
    </row>
    <row r="28" spans="1:15">
      <c r="A28" s="13" t="s">
        <v>176</v>
      </c>
      <c r="B28" s="13"/>
      <c r="C28" s="27"/>
      <c r="D28" s="27"/>
      <c r="E28" s="12"/>
      <c r="F28" s="23">
        <v>1</v>
      </c>
      <c r="G28" s="23">
        <v>2</v>
      </c>
      <c r="H28" s="23">
        <v>2</v>
      </c>
      <c r="I28" s="25">
        <v>2</v>
      </c>
    </row>
    <row r="29" spans="1:15">
      <c r="A29" s="13" t="s">
        <v>177</v>
      </c>
      <c r="B29" s="13"/>
      <c r="C29" s="27"/>
      <c r="D29" s="27"/>
      <c r="E29" s="12"/>
      <c r="F29" s="23">
        <v>2</v>
      </c>
      <c r="G29" s="23">
        <v>2</v>
      </c>
      <c r="H29" s="23">
        <v>2</v>
      </c>
      <c r="I29" s="25">
        <v>2</v>
      </c>
    </row>
    <row r="30" spans="1:15">
      <c r="A30" s="13" t="s">
        <v>178</v>
      </c>
      <c r="B30" s="13"/>
      <c r="C30" s="27"/>
      <c r="D30" s="27"/>
      <c r="E30" s="12"/>
      <c r="F30" s="23">
        <v>2</v>
      </c>
      <c r="G30" s="23">
        <v>2</v>
      </c>
      <c r="H30" s="23">
        <v>2</v>
      </c>
      <c r="I30" s="24">
        <v>3</v>
      </c>
      <c r="J30" s="8">
        <v>4</v>
      </c>
      <c r="K30">
        <v>1</v>
      </c>
      <c r="L30">
        <v>1</v>
      </c>
      <c r="M30">
        <v>1</v>
      </c>
      <c r="N30" s="9">
        <v>1</v>
      </c>
    </row>
    <row r="31" spans="1:15">
      <c r="A31" s="13" t="s">
        <v>179</v>
      </c>
      <c r="B31" s="13"/>
      <c r="C31" s="27"/>
      <c r="D31" s="27"/>
      <c r="E31" s="12"/>
      <c r="F31" s="17">
        <v>3</v>
      </c>
      <c r="G31" s="23">
        <v>2</v>
      </c>
      <c r="H31" s="23">
        <v>2</v>
      </c>
      <c r="I31" s="25">
        <v>2</v>
      </c>
      <c r="J31">
        <v>1</v>
      </c>
      <c r="K31" s="8">
        <v>4</v>
      </c>
      <c r="L31">
        <v>1</v>
      </c>
      <c r="M31">
        <v>1</v>
      </c>
      <c r="N31" s="9">
        <v>1</v>
      </c>
    </row>
    <row r="32" spans="1:15">
      <c r="A32" s="13" t="s">
        <v>180</v>
      </c>
      <c r="B32" s="13"/>
      <c r="C32" s="27"/>
      <c r="D32" s="27"/>
      <c r="E32" s="12"/>
      <c r="F32" s="23">
        <v>0</v>
      </c>
      <c r="G32" s="23">
        <v>1</v>
      </c>
      <c r="H32" s="23">
        <v>2</v>
      </c>
      <c r="I32" s="24">
        <v>3</v>
      </c>
    </row>
    <row r="33" spans="1:15">
      <c r="A33" s="13" t="s">
        <v>181</v>
      </c>
      <c r="B33" s="13"/>
      <c r="C33" s="27"/>
      <c r="D33" s="27"/>
      <c r="E33" s="12"/>
      <c r="F33" s="23">
        <v>0</v>
      </c>
      <c r="G33" s="23">
        <v>0</v>
      </c>
      <c r="H33" s="17">
        <v>3</v>
      </c>
      <c r="I33" s="25">
        <v>2</v>
      </c>
      <c r="J33">
        <v>1</v>
      </c>
      <c r="K33">
        <v>1</v>
      </c>
      <c r="L33" s="8">
        <v>3</v>
      </c>
      <c r="M33">
        <v>1</v>
      </c>
      <c r="N33" s="9">
        <v>1</v>
      </c>
    </row>
    <row r="34" spans="1:15">
      <c r="A34" s="13" t="s">
        <v>182</v>
      </c>
      <c r="B34" s="13"/>
      <c r="C34" s="27"/>
      <c r="D34" s="27"/>
      <c r="E34" s="12"/>
      <c r="F34" s="23">
        <v>0</v>
      </c>
      <c r="G34" s="23">
        <v>0</v>
      </c>
      <c r="H34" s="23">
        <v>3</v>
      </c>
      <c r="I34" s="24">
        <v>4</v>
      </c>
      <c r="J34">
        <v>1</v>
      </c>
      <c r="K34" s="8">
        <v>4</v>
      </c>
      <c r="L34">
        <v>1</v>
      </c>
      <c r="M34">
        <v>1</v>
      </c>
      <c r="N34" s="9">
        <v>1</v>
      </c>
    </row>
    <row r="35" spans="1:15">
      <c r="A35" s="13" t="s">
        <v>183</v>
      </c>
      <c r="B35" s="13"/>
      <c r="C35" s="27"/>
      <c r="D35" s="27"/>
      <c r="E35" s="12"/>
      <c r="F35" s="17">
        <v>3</v>
      </c>
      <c r="G35" s="23">
        <v>0</v>
      </c>
      <c r="H35" s="23">
        <v>0</v>
      </c>
      <c r="I35" s="25">
        <v>0</v>
      </c>
    </row>
    <row r="36" spans="1:15">
      <c r="A36" s="13" t="s">
        <v>184</v>
      </c>
      <c r="B36" s="13"/>
      <c r="C36" s="27"/>
      <c r="D36" s="27"/>
      <c r="E36" s="12"/>
      <c r="F36" s="23">
        <v>2</v>
      </c>
      <c r="G36" s="23">
        <v>2</v>
      </c>
      <c r="H36" s="23">
        <v>2</v>
      </c>
      <c r="I36" s="25">
        <v>2</v>
      </c>
    </row>
    <row r="37" spans="1:15">
      <c r="A37" s="13" t="s">
        <v>185</v>
      </c>
      <c r="B37" s="13"/>
      <c r="C37" s="27"/>
      <c r="D37" s="27"/>
      <c r="E37" s="12"/>
      <c r="F37" s="23">
        <v>2</v>
      </c>
      <c r="G37" s="23">
        <v>2</v>
      </c>
      <c r="H37" s="23">
        <v>2</v>
      </c>
      <c r="I37" s="25">
        <v>2</v>
      </c>
    </row>
    <row r="38" spans="1:15">
      <c r="A38" s="13" t="s">
        <v>186</v>
      </c>
      <c r="B38" s="13"/>
      <c r="C38" s="27"/>
      <c r="D38" s="27"/>
      <c r="E38" s="12"/>
      <c r="F38" s="23">
        <v>2</v>
      </c>
      <c r="G38" s="23">
        <v>2</v>
      </c>
      <c r="H38" s="23">
        <v>2</v>
      </c>
      <c r="I38" s="25">
        <v>2</v>
      </c>
      <c r="J38">
        <v>1</v>
      </c>
      <c r="K38" s="8">
        <v>3</v>
      </c>
      <c r="L38">
        <v>1</v>
      </c>
      <c r="M38">
        <v>1</v>
      </c>
      <c r="N38" s="9">
        <v>1</v>
      </c>
    </row>
    <row r="39" spans="1:15">
      <c r="A39" s="13" t="s">
        <v>187</v>
      </c>
      <c r="B39" s="13"/>
      <c r="C39" s="27"/>
      <c r="D39" s="27"/>
      <c r="E39" s="12"/>
      <c r="F39" s="23">
        <v>2</v>
      </c>
      <c r="G39" s="23">
        <v>2</v>
      </c>
      <c r="H39" s="23">
        <v>2</v>
      </c>
      <c r="I39" s="24">
        <v>4</v>
      </c>
    </row>
    <row r="40" spans="1:15">
      <c r="A40" s="13" t="s">
        <v>188</v>
      </c>
      <c r="B40" s="13"/>
      <c r="C40" s="27"/>
      <c r="D40" s="27"/>
      <c r="E40" s="12"/>
      <c r="F40" s="23">
        <v>1</v>
      </c>
      <c r="G40" s="23">
        <v>2</v>
      </c>
      <c r="H40" s="17">
        <v>3</v>
      </c>
      <c r="I40" s="25">
        <v>2</v>
      </c>
    </row>
    <row r="41" spans="1:15">
      <c r="A41" s="13" t="s">
        <v>189</v>
      </c>
      <c r="B41" s="13"/>
      <c r="C41" s="27"/>
      <c r="D41" s="27"/>
      <c r="E41" s="12"/>
      <c r="F41" s="23">
        <v>0</v>
      </c>
      <c r="G41" s="23">
        <v>0</v>
      </c>
      <c r="H41" s="23">
        <v>3</v>
      </c>
      <c r="I41" s="24">
        <v>4</v>
      </c>
    </row>
    <row r="42" spans="1:15">
      <c r="A42" s="11" t="s">
        <v>44</v>
      </c>
      <c r="B42" s="11"/>
      <c r="C42" s="27"/>
      <c r="D42" s="27"/>
      <c r="E42" s="12"/>
      <c r="F42" s="8">
        <v>3</v>
      </c>
      <c r="G42">
        <v>2</v>
      </c>
      <c r="H42">
        <v>1</v>
      </c>
      <c r="I42" s="9">
        <v>1</v>
      </c>
      <c r="J42">
        <v>0</v>
      </c>
      <c r="K42">
        <v>2</v>
      </c>
      <c r="L42">
        <v>1</v>
      </c>
      <c r="M42" s="8">
        <v>3</v>
      </c>
      <c r="N42" s="9">
        <v>0</v>
      </c>
      <c r="O42" s="9" t="s">
        <v>27</v>
      </c>
    </row>
    <row r="43" spans="1:15">
      <c r="A43" s="13" t="s">
        <v>190</v>
      </c>
      <c r="B43" s="13"/>
      <c r="C43" s="27"/>
      <c r="D43" s="27"/>
      <c r="E43" s="12"/>
      <c r="F43" s="8">
        <v>3</v>
      </c>
      <c r="G43">
        <v>2</v>
      </c>
      <c r="H43">
        <v>1</v>
      </c>
      <c r="I43" s="9">
        <v>1</v>
      </c>
      <c r="J43">
        <v>0</v>
      </c>
      <c r="K43">
        <v>2</v>
      </c>
      <c r="L43">
        <v>1</v>
      </c>
      <c r="M43" s="8">
        <v>3</v>
      </c>
      <c r="N43" s="9">
        <v>0</v>
      </c>
    </row>
    <row r="44" spans="1:15">
      <c r="A44" s="11" t="s">
        <v>45</v>
      </c>
      <c r="B44" s="11"/>
      <c r="C44" s="27"/>
      <c r="D44" s="27"/>
      <c r="E44" s="12"/>
      <c r="F44" s="6">
        <v>2</v>
      </c>
      <c r="G44" s="6">
        <v>2</v>
      </c>
      <c r="H44" s="15">
        <v>3</v>
      </c>
      <c r="I44" s="26">
        <v>2</v>
      </c>
      <c r="J44">
        <v>0</v>
      </c>
      <c r="K44" s="21">
        <v>1</v>
      </c>
      <c r="L44">
        <v>0</v>
      </c>
      <c r="M44" s="8">
        <v>4</v>
      </c>
      <c r="N44" s="9">
        <v>0</v>
      </c>
      <c r="O44" s="9" t="s">
        <v>33</v>
      </c>
    </row>
    <row r="45" spans="1:15">
      <c r="A45" s="11" t="s">
        <v>46</v>
      </c>
      <c r="B45" s="11"/>
      <c r="C45" s="27"/>
      <c r="D45" s="27"/>
      <c r="E45" s="12"/>
      <c r="F45">
        <v>1</v>
      </c>
      <c r="G45">
        <v>1</v>
      </c>
      <c r="H45" s="8">
        <v>3</v>
      </c>
      <c r="I45" s="9">
        <v>2</v>
      </c>
      <c r="J45">
        <v>1</v>
      </c>
      <c r="K45" s="8">
        <v>4</v>
      </c>
      <c r="L45">
        <v>1</v>
      </c>
      <c r="M45">
        <v>0</v>
      </c>
      <c r="N45" s="9">
        <v>0</v>
      </c>
      <c r="O45" s="9" t="s">
        <v>33</v>
      </c>
    </row>
    <row r="46" spans="1:15">
      <c r="A46" s="13" t="s">
        <v>201</v>
      </c>
      <c r="B46" s="13"/>
      <c r="C46" s="27"/>
      <c r="D46" s="27"/>
      <c r="E46" s="12"/>
      <c r="F46">
        <v>2</v>
      </c>
      <c r="G46" s="8">
        <v>3</v>
      </c>
      <c r="H46">
        <v>2</v>
      </c>
      <c r="I46" s="9">
        <v>2</v>
      </c>
      <c r="J46" s="21"/>
      <c r="K46" s="21"/>
    </row>
    <row r="47" spans="1:15">
      <c r="A47" s="13" t="s">
        <v>202</v>
      </c>
      <c r="B47" s="13"/>
      <c r="C47" s="27"/>
      <c r="D47" s="27"/>
      <c r="E47" s="12"/>
      <c r="F47">
        <v>2</v>
      </c>
      <c r="G47">
        <v>2</v>
      </c>
      <c r="H47" s="8">
        <v>4</v>
      </c>
      <c r="I47" s="9">
        <v>2</v>
      </c>
      <c r="J47" s="21"/>
      <c r="K47" s="21"/>
    </row>
    <row r="48" spans="1:15">
      <c r="A48" s="13" t="s">
        <v>203</v>
      </c>
      <c r="B48" s="13"/>
      <c r="C48" s="27"/>
      <c r="D48" s="27"/>
      <c r="E48" s="12"/>
      <c r="F48">
        <v>1</v>
      </c>
      <c r="G48">
        <v>2</v>
      </c>
      <c r="H48">
        <v>2</v>
      </c>
      <c r="I48" s="10">
        <v>3</v>
      </c>
      <c r="J48" s="21"/>
      <c r="K48" s="21"/>
    </row>
    <row r="49" spans="1:15">
      <c r="A49" s="11" t="s">
        <v>47</v>
      </c>
      <c r="B49" s="11"/>
      <c r="C49" s="27"/>
      <c r="D49" s="27"/>
      <c r="E49" s="12"/>
      <c r="F49" s="8">
        <v>3</v>
      </c>
      <c r="G49" s="21">
        <v>2</v>
      </c>
      <c r="H49" s="21">
        <v>2</v>
      </c>
      <c r="I49" s="22">
        <v>1</v>
      </c>
      <c r="J49">
        <v>1</v>
      </c>
      <c r="K49" s="8">
        <v>3</v>
      </c>
      <c r="L49">
        <v>2</v>
      </c>
      <c r="M49">
        <v>0</v>
      </c>
      <c r="N49" s="9">
        <v>0</v>
      </c>
      <c r="O49" s="9" t="s">
        <v>36</v>
      </c>
    </row>
    <row r="50" spans="1:15">
      <c r="A50" s="13" t="s">
        <v>210</v>
      </c>
      <c r="B50" s="13"/>
      <c r="C50" s="27"/>
      <c r="D50" s="27"/>
      <c r="E50" s="12"/>
      <c r="F50" s="21">
        <v>2</v>
      </c>
      <c r="G50" s="8">
        <v>3</v>
      </c>
      <c r="H50" s="21">
        <v>2</v>
      </c>
      <c r="I50" s="22">
        <v>0</v>
      </c>
      <c r="J50">
        <v>1</v>
      </c>
      <c r="K50">
        <v>1</v>
      </c>
      <c r="L50" s="8">
        <v>4</v>
      </c>
      <c r="M50">
        <v>0</v>
      </c>
      <c r="N50" s="9">
        <v>0</v>
      </c>
    </row>
    <row r="51" spans="1:15">
      <c r="A51" s="13" t="s">
        <v>211</v>
      </c>
      <c r="B51" s="13"/>
      <c r="C51" s="27"/>
      <c r="D51" s="27"/>
      <c r="E51" s="12"/>
      <c r="F51" s="21">
        <v>2</v>
      </c>
      <c r="G51" s="21">
        <v>2</v>
      </c>
      <c r="H51" s="8">
        <v>5</v>
      </c>
      <c r="I51" s="22">
        <v>0</v>
      </c>
    </row>
    <row r="52" spans="1:15">
      <c r="A52" s="13" t="s">
        <v>212</v>
      </c>
      <c r="B52" s="13"/>
      <c r="C52" s="27"/>
      <c r="D52" s="27"/>
      <c r="E52" s="12"/>
      <c r="F52" s="21">
        <v>3</v>
      </c>
      <c r="G52" s="8">
        <v>4</v>
      </c>
      <c r="H52" s="21">
        <v>0</v>
      </c>
      <c r="I52" s="22">
        <v>0</v>
      </c>
    </row>
    <row r="53" spans="1:15">
      <c r="A53" s="13" t="s">
        <v>213</v>
      </c>
      <c r="B53" s="13"/>
      <c r="C53" s="27"/>
      <c r="D53" s="27"/>
      <c r="E53" s="12"/>
      <c r="F53" s="8">
        <v>4</v>
      </c>
      <c r="G53" s="21">
        <v>0</v>
      </c>
      <c r="H53" s="21">
        <v>0</v>
      </c>
      <c r="I53" s="22">
        <v>0</v>
      </c>
    </row>
    <row r="54" spans="1:15">
      <c r="A54" s="13" t="s">
        <v>214</v>
      </c>
      <c r="B54" s="13"/>
      <c r="C54" s="27"/>
      <c r="D54" s="27"/>
      <c r="E54" s="12"/>
      <c r="F54" s="8">
        <v>4</v>
      </c>
      <c r="G54" s="21">
        <v>0</v>
      </c>
      <c r="H54" s="21">
        <v>0</v>
      </c>
      <c r="I54" s="22">
        <v>0</v>
      </c>
    </row>
    <row r="55" spans="1:15">
      <c r="A55" s="13" t="s">
        <v>215</v>
      </c>
      <c r="B55" s="13"/>
      <c r="C55" s="27"/>
      <c r="D55" s="27"/>
      <c r="E55" s="12"/>
      <c r="F55" s="21">
        <v>2</v>
      </c>
      <c r="G55" s="21">
        <v>2</v>
      </c>
      <c r="H55" s="21">
        <v>2</v>
      </c>
      <c r="I55" s="10">
        <v>3</v>
      </c>
      <c r="J55">
        <v>1</v>
      </c>
      <c r="K55" s="8">
        <v>4</v>
      </c>
      <c r="L55">
        <v>2</v>
      </c>
      <c r="M55">
        <v>0</v>
      </c>
      <c r="N55" s="9">
        <v>0</v>
      </c>
    </row>
    <row r="56" spans="1:15">
      <c r="A56" s="13" t="s">
        <v>216</v>
      </c>
      <c r="B56" s="13"/>
      <c r="C56" s="27"/>
      <c r="D56" s="27"/>
      <c r="E56" s="12"/>
      <c r="F56" s="8">
        <v>3</v>
      </c>
      <c r="G56" s="21">
        <v>2</v>
      </c>
      <c r="H56" s="21">
        <v>2</v>
      </c>
      <c r="I56" s="22">
        <v>2</v>
      </c>
    </row>
    <row r="57" spans="1:15">
      <c r="A57" s="11" t="s">
        <v>48</v>
      </c>
      <c r="B57" s="11"/>
      <c r="C57" s="27"/>
      <c r="D57" s="27"/>
      <c r="E57" s="12"/>
      <c r="F57" s="17">
        <v>5</v>
      </c>
      <c r="G57" s="16">
        <v>0</v>
      </c>
      <c r="H57" s="16">
        <v>0</v>
      </c>
      <c r="I57" s="18">
        <v>0</v>
      </c>
      <c r="J57">
        <v>0</v>
      </c>
      <c r="K57">
        <v>1</v>
      </c>
      <c r="L57">
        <v>0</v>
      </c>
      <c r="M57" s="8">
        <v>4</v>
      </c>
      <c r="N57" s="9">
        <v>0</v>
      </c>
    </row>
    <row r="58" spans="1:15">
      <c r="A58" s="13" t="s">
        <v>217</v>
      </c>
      <c r="B58" s="13"/>
      <c r="C58" s="27"/>
      <c r="D58" s="27"/>
      <c r="E58" s="12"/>
      <c r="F58" s="17">
        <v>5</v>
      </c>
      <c r="G58" s="16">
        <v>0</v>
      </c>
      <c r="H58" s="16">
        <v>0</v>
      </c>
      <c r="I58" s="18">
        <v>0</v>
      </c>
      <c r="J58">
        <v>0</v>
      </c>
      <c r="K58">
        <v>1</v>
      </c>
      <c r="L58">
        <v>0</v>
      </c>
      <c r="M58" s="8">
        <v>4</v>
      </c>
      <c r="N58" s="9">
        <v>0</v>
      </c>
    </row>
    <row r="59" spans="1:15">
      <c r="A59" s="11" t="s">
        <v>49</v>
      </c>
      <c r="B59" s="11"/>
      <c r="C59" s="27"/>
      <c r="D59" s="27"/>
      <c r="E59" s="12"/>
      <c r="F59">
        <v>0</v>
      </c>
      <c r="G59">
        <v>0</v>
      </c>
      <c r="H59">
        <v>1</v>
      </c>
      <c r="I59" s="10">
        <v>5</v>
      </c>
      <c r="J59">
        <v>2</v>
      </c>
      <c r="K59" s="8">
        <v>3</v>
      </c>
      <c r="L59">
        <v>1</v>
      </c>
      <c r="M59">
        <v>1</v>
      </c>
      <c r="N59" s="9">
        <v>1</v>
      </c>
      <c r="O59" s="9" t="s">
        <v>33</v>
      </c>
    </row>
    <row r="60" spans="1:15">
      <c r="A60" s="13" t="s">
        <v>223</v>
      </c>
      <c r="B60" s="13"/>
      <c r="C60" s="27"/>
      <c r="D60" s="27"/>
      <c r="E60" s="12"/>
      <c r="F60">
        <v>0</v>
      </c>
      <c r="G60">
        <v>0</v>
      </c>
      <c r="H60">
        <v>1</v>
      </c>
      <c r="I60" s="10">
        <v>5</v>
      </c>
      <c r="K60" s="21"/>
    </row>
    <row r="61" spans="1:15">
      <c r="A61" s="13" t="s">
        <v>224</v>
      </c>
      <c r="B61" s="13"/>
      <c r="C61" s="27"/>
      <c r="D61" s="27"/>
      <c r="E61" s="12"/>
      <c r="F61">
        <v>0</v>
      </c>
      <c r="G61">
        <v>0</v>
      </c>
      <c r="H61">
        <v>1</v>
      </c>
      <c r="I61" s="10">
        <v>5</v>
      </c>
      <c r="K61" s="21"/>
    </row>
    <row r="62" spans="1:15">
      <c r="A62" s="11" t="s">
        <v>50</v>
      </c>
      <c r="B62" s="11"/>
      <c r="C62" s="27"/>
      <c r="D62" s="27"/>
      <c r="E62" s="12"/>
      <c r="F62" s="16">
        <v>2</v>
      </c>
      <c r="G62" s="16">
        <v>2</v>
      </c>
      <c r="H62" s="16">
        <v>2</v>
      </c>
      <c r="I62" s="24">
        <v>3</v>
      </c>
      <c r="J62">
        <v>0</v>
      </c>
      <c r="K62">
        <v>1</v>
      </c>
      <c r="L62" s="21">
        <v>0</v>
      </c>
      <c r="M62" s="8">
        <v>3</v>
      </c>
      <c r="N62" s="9">
        <v>0</v>
      </c>
      <c r="O62" s="9" t="s">
        <v>36</v>
      </c>
    </row>
    <row r="63" spans="1:15">
      <c r="A63" s="13" t="s">
        <v>226</v>
      </c>
      <c r="B63" s="13"/>
      <c r="C63" s="27"/>
      <c r="D63" s="27"/>
      <c r="E63" s="12"/>
      <c r="F63" s="16">
        <v>2</v>
      </c>
      <c r="G63" s="16">
        <v>2</v>
      </c>
      <c r="H63" s="16">
        <v>2</v>
      </c>
      <c r="I63" s="24">
        <v>3</v>
      </c>
      <c r="J63">
        <v>0</v>
      </c>
      <c r="K63">
        <v>1</v>
      </c>
      <c r="L63" s="21">
        <v>0</v>
      </c>
      <c r="M63" s="8">
        <v>3</v>
      </c>
      <c r="N63" s="9">
        <v>0</v>
      </c>
    </row>
    <row r="64" spans="1:15">
      <c r="A64" s="11" t="s">
        <v>51</v>
      </c>
      <c r="B64" s="11"/>
      <c r="C64" s="27"/>
      <c r="D64" s="27"/>
      <c r="E64" s="12"/>
      <c r="F64">
        <v>1</v>
      </c>
      <c r="G64">
        <v>1</v>
      </c>
      <c r="H64">
        <v>2</v>
      </c>
      <c r="I64" s="10">
        <v>3</v>
      </c>
      <c r="J64">
        <v>1</v>
      </c>
      <c r="K64" s="8">
        <v>4</v>
      </c>
      <c r="L64">
        <v>1</v>
      </c>
      <c r="M64">
        <v>0</v>
      </c>
      <c r="N64" s="9">
        <v>0</v>
      </c>
      <c r="O64" s="9" t="s">
        <v>33</v>
      </c>
    </row>
    <row r="65" spans="1:15">
      <c r="A65" s="13" t="s">
        <v>227</v>
      </c>
      <c r="B65" s="13"/>
      <c r="C65" s="27"/>
      <c r="D65" s="27"/>
      <c r="E65" s="12"/>
      <c r="F65">
        <v>1</v>
      </c>
      <c r="G65">
        <v>1</v>
      </c>
      <c r="H65">
        <v>2</v>
      </c>
      <c r="I65" s="10">
        <v>3</v>
      </c>
      <c r="J65">
        <v>1</v>
      </c>
      <c r="K65" s="8">
        <v>4</v>
      </c>
      <c r="L65">
        <v>1</v>
      </c>
      <c r="M65">
        <v>0</v>
      </c>
      <c r="N65" s="9">
        <v>0</v>
      </c>
    </row>
    <row r="66" spans="1:15">
      <c r="A66" s="11" t="s">
        <v>286</v>
      </c>
      <c r="B66" s="11"/>
      <c r="C66" s="27"/>
      <c r="D66" s="27"/>
      <c r="E66" s="12"/>
      <c r="F66" s="6">
        <v>0</v>
      </c>
      <c r="G66" s="6">
        <v>0</v>
      </c>
      <c r="H66" s="6">
        <v>2</v>
      </c>
      <c r="I66" s="19">
        <v>4</v>
      </c>
      <c r="J66">
        <v>1</v>
      </c>
      <c r="K66" s="8">
        <v>4</v>
      </c>
      <c r="L66">
        <v>1</v>
      </c>
      <c r="M66">
        <v>0</v>
      </c>
      <c r="N66" s="9">
        <v>0</v>
      </c>
      <c r="O66" s="9" t="s">
        <v>33</v>
      </c>
    </row>
    <row r="67" spans="1:15">
      <c r="A67" s="11" t="s">
        <v>285</v>
      </c>
      <c r="B67" s="11"/>
      <c r="C67" s="27"/>
      <c r="D67" s="27"/>
      <c r="E67" s="12"/>
      <c r="F67">
        <v>0</v>
      </c>
      <c r="G67">
        <v>1</v>
      </c>
      <c r="H67">
        <v>1</v>
      </c>
      <c r="I67" s="10">
        <v>4</v>
      </c>
      <c r="J67">
        <v>1</v>
      </c>
      <c r="K67" s="8">
        <v>4</v>
      </c>
      <c r="L67">
        <v>1</v>
      </c>
      <c r="M67">
        <v>0</v>
      </c>
      <c r="N67" s="9">
        <v>0</v>
      </c>
      <c r="O67" s="9" t="s">
        <v>36</v>
      </c>
    </row>
    <row r="68" spans="1:15">
      <c r="A68" s="13" t="s">
        <v>288</v>
      </c>
      <c r="B68" s="13"/>
      <c r="C68" s="27"/>
      <c r="D68" s="27"/>
      <c r="E68" s="12"/>
      <c r="F68" s="16">
        <v>0</v>
      </c>
      <c r="G68" s="16">
        <v>2</v>
      </c>
      <c r="H68" s="16">
        <v>3</v>
      </c>
      <c r="I68" s="24">
        <v>4</v>
      </c>
      <c r="K68" s="21"/>
    </row>
    <row r="69" spans="1:15">
      <c r="A69" s="11" t="s">
        <v>54</v>
      </c>
      <c r="B69" s="11"/>
      <c r="C69" s="27"/>
      <c r="D69" s="27"/>
      <c r="E69" s="12"/>
      <c r="F69" s="20">
        <v>1</v>
      </c>
      <c r="G69" s="15">
        <v>3</v>
      </c>
      <c r="H69" s="6">
        <v>1</v>
      </c>
      <c r="I69" s="7">
        <v>0</v>
      </c>
      <c r="J69">
        <v>0</v>
      </c>
      <c r="K69">
        <v>1</v>
      </c>
      <c r="L69" s="8">
        <v>3</v>
      </c>
      <c r="M69" s="21">
        <v>1</v>
      </c>
      <c r="N69" s="9">
        <v>0</v>
      </c>
      <c r="O69" s="9" t="s">
        <v>36</v>
      </c>
    </row>
    <row r="70" spans="1:15">
      <c r="A70" s="11" t="s">
        <v>55</v>
      </c>
      <c r="B70" s="11"/>
      <c r="C70" s="27"/>
      <c r="D70" s="27"/>
      <c r="E70" s="12"/>
      <c r="F70" s="6">
        <v>2</v>
      </c>
      <c r="G70" s="15">
        <v>3</v>
      </c>
      <c r="H70" s="6">
        <v>1</v>
      </c>
      <c r="I70" s="7">
        <v>0</v>
      </c>
      <c r="J70">
        <v>1</v>
      </c>
      <c r="K70" s="8">
        <v>4</v>
      </c>
      <c r="L70">
        <v>1</v>
      </c>
      <c r="M70">
        <v>0</v>
      </c>
      <c r="N70" s="9">
        <v>0</v>
      </c>
      <c r="O70" s="9" t="s">
        <v>36</v>
      </c>
    </row>
    <row r="71" spans="1:15">
      <c r="A71" s="11" t="s">
        <v>284</v>
      </c>
      <c r="B71" s="11"/>
      <c r="C71" s="27"/>
      <c r="D71" s="27"/>
      <c r="E71" s="12"/>
      <c r="F71" s="15">
        <v>3</v>
      </c>
      <c r="G71" s="6">
        <v>2</v>
      </c>
      <c r="H71" s="6">
        <v>1</v>
      </c>
      <c r="I71" s="7">
        <v>0</v>
      </c>
      <c r="J71">
        <v>0</v>
      </c>
      <c r="K71">
        <v>1</v>
      </c>
      <c r="L71" s="8">
        <v>4</v>
      </c>
      <c r="M71">
        <v>0</v>
      </c>
      <c r="N71" s="9">
        <v>0</v>
      </c>
      <c r="O71" s="9" t="s">
        <v>36</v>
      </c>
    </row>
    <row r="72" spans="1:15">
      <c r="A72" s="11" t="s">
        <v>57</v>
      </c>
      <c r="B72" s="11"/>
      <c r="C72" s="27"/>
      <c r="D72" s="27"/>
      <c r="E72" s="12"/>
      <c r="F72">
        <v>1</v>
      </c>
      <c r="G72">
        <v>2</v>
      </c>
      <c r="H72" s="8">
        <v>3</v>
      </c>
      <c r="I72" s="9">
        <v>1</v>
      </c>
      <c r="J72">
        <v>0</v>
      </c>
      <c r="K72">
        <v>1</v>
      </c>
      <c r="L72" s="8">
        <v>4</v>
      </c>
      <c r="M72">
        <v>1</v>
      </c>
      <c r="N72" s="9">
        <v>0</v>
      </c>
      <c r="O72" s="9" t="s">
        <v>27</v>
      </c>
    </row>
    <row r="73" spans="1:15">
      <c r="A73" s="13" t="s">
        <v>198</v>
      </c>
      <c r="B73" s="13"/>
      <c r="C73" s="27"/>
      <c r="D73" s="27"/>
      <c r="E73" s="12"/>
      <c r="F73">
        <v>2</v>
      </c>
      <c r="G73">
        <v>3</v>
      </c>
      <c r="H73" s="8">
        <v>4</v>
      </c>
      <c r="I73" s="9">
        <v>0</v>
      </c>
      <c r="L73" s="8"/>
    </row>
    <row r="74" spans="1:15">
      <c r="A74" s="11" t="s">
        <v>58</v>
      </c>
      <c r="B74" s="11"/>
      <c r="C74" s="27"/>
      <c r="D74" s="27"/>
      <c r="E74" s="12"/>
      <c r="F74" s="15">
        <v>4</v>
      </c>
      <c r="G74" s="20">
        <v>1</v>
      </c>
      <c r="H74" s="20">
        <v>0</v>
      </c>
      <c r="I74" s="26">
        <v>0</v>
      </c>
      <c r="J74">
        <v>0</v>
      </c>
      <c r="K74">
        <v>1</v>
      </c>
      <c r="L74" s="8">
        <v>4</v>
      </c>
      <c r="M74">
        <v>1</v>
      </c>
      <c r="N74" s="9">
        <v>0</v>
      </c>
      <c r="O74" s="9" t="s">
        <v>36</v>
      </c>
    </row>
    <row r="75" spans="1:15">
      <c r="A75" s="27" t="s">
        <v>59</v>
      </c>
      <c r="B75" s="27"/>
      <c r="C75" s="27"/>
      <c r="D75" s="27"/>
      <c r="E75" s="28"/>
      <c r="F75" s="20">
        <v>2</v>
      </c>
      <c r="G75" s="15">
        <v>3</v>
      </c>
      <c r="H75" s="20">
        <v>1</v>
      </c>
      <c r="I75" s="26">
        <v>1</v>
      </c>
      <c r="J75">
        <v>0</v>
      </c>
      <c r="K75">
        <v>2</v>
      </c>
      <c r="L75" s="8">
        <v>3</v>
      </c>
      <c r="M75">
        <v>0</v>
      </c>
      <c r="N75" s="9">
        <v>0</v>
      </c>
      <c r="O75" s="9" t="s">
        <v>36</v>
      </c>
    </row>
    <row r="76" spans="1:15">
      <c r="A76" s="11" t="s">
        <v>60</v>
      </c>
      <c r="B76" s="11"/>
      <c r="C76" s="27"/>
      <c r="D76" s="27"/>
      <c r="E76" s="12"/>
      <c r="F76" s="20">
        <v>2</v>
      </c>
      <c r="G76" s="15">
        <v>3</v>
      </c>
      <c r="H76" s="20">
        <v>1</v>
      </c>
      <c r="I76" s="26">
        <v>1</v>
      </c>
      <c r="J76">
        <v>0</v>
      </c>
      <c r="K76">
        <v>1</v>
      </c>
      <c r="L76" s="8">
        <v>4</v>
      </c>
      <c r="M76">
        <v>1</v>
      </c>
      <c r="N76" s="9">
        <v>0</v>
      </c>
      <c r="O76" s="9" t="s">
        <v>36</v>
      </c>
    </row>
    <row r="77" spans="1:15">
      <c r="A77" s="11" t="s">
        <v>61</v>
      </c>
      <c r="B77" s="11"/>
      <c r="C77" s="27"/>
      <c r="D77" s="27"/>
      <c r="E77" s="12"/>
      <c r="F77" s="6">
        <v>1</v>
      </c>
      <c r="G77" s="6">
        <v>2</v>
      </c>
      <c r="H77" s="6">
        <v>2</v>
      </c>
      <c r="I77" s="7">
        <v>2</v>
      </c>
      <c r="J77">
        <v>0</v>
      </c>
      <c r="K77" s="8">
        <v>3</v>
      </c>
      <c r="L77">
        <v>2</v>
      </c>
      <c r="M77">
        <v>0</v>
      </c>
      <c r="N77" s="9">
        <v>0</v>
      </c>
      <c r="O77" s="9" t="s">
        <v>36</v>
      </c>
    </row>
    <row r="78" spans="1:15">
      <c r="A78" s="11" t="s">
        <v>62</v>
      </c>
      <c r="B78" s="11"/>
      <c r="C78" s="27"/>
      <c r="D78" s="27"/>
      <c r="E78" s="12"/>
      <c r="F78" s="6">
        <v>2</v>
      </c>
      <c r="G78" s="15">
        <v>3</v>
      </c>
      <c r="H78" s="6">
        <v>1</v>
      </c>
      <c r="I78" s="7">
        <v>0</v>
      </c>
      <c r="J78">
        <v>0</v>
      </c>
      <c r="K78">
        <v>2</v>
      </c>
      <c r="L78">
        <v>1</v>
      </c>
      <c r="M78" s="8">
        <v>3</v>
      </c>
      <c r="N78" s="9">
        <v>0</v>
      </c>
      <c r="O78" s="9" t="s">
        <v>36</v>
      </c>
    </row>
    <row r="79" spans="1:15">
      <c r="A79" s="11" t="s">
        <v>63</v>
      </c>
      <c r="B79" s="11"/>
      <c r="C79" s="27"/>
      <c r="D79" s="27"/>
      <c r="E79" s="12"/>
      <c r="F79">
        <v>0</v>
      </c>
      <c r="G79">
        <v>2</v>
      </c>
      <c r="H79" s="8">
        <v>3</v>
      </c>
      <c r="I79" s="9">
        <v>0</v>
      </c>
      <c r="J79">
        <v>0</v>
      </c>
      <c r="K79">
        <v>1</v>
      </c>
      <c r="L79">
        <v>0</v>
      </c>
      <c r="M79" s="8">
        <v>5</v>
      </c>
      <c r="N79" s="9">
        <v>0</v>
      </c>
      <c r="O79" s="9" t="s">
        <v>27</v>
      </c>
    </row>
    <row r="80" spans="1:15">
      <c r="A80" s="11" t="s">
        <v>64</v>
      </c>
      <c r="B80" s="11"/>
      <c r="C80" s="27"/>
      <c r="D80" s="27"/>
      <c r="E80" s="12"/>
      <c r="F80" s="6">
        <v>1</v>
      </c>
      <c r="G80" s="6">
        <v>2</v>
      </c>
      <c r="H80" s="15">
        <v>3</v>
      </c>
      <c r="I80" s="7">
        <v>1</v>
      </c>
      <c r="J80">
        <v>1</v>
      </c>
      <c r="K80" s="8">
        <v>4</v>
      </c>
      <c r="L80">
        <v>0</v>
      </c>
      <c r="M80">
        <v>1</v>
      </c>
      <c r="N80" s="9">
        <v>0</v>
      </c>
      <c r="O80" s="9" t="s">
        <v>27</v>
      </c>
    </row>
    <row r="81" spans="1:15">
      <c r="A81" s="11" t="s">
        <v>283</v>
      </c>
      <c r="B81" s="11"/>
      <c r="C81" s="27"/>
      <c r="D81" s="27"/>
      <c r="E81" s="12"/>
      <c r="F81" s="6">
        <v>1</v>
      </c>
      <c r="G81" s="6">
        <v>1</v>
      </c>
      <c r="H81" s="15">
        <v>3</v>
      </c>
      <c r="I81" s="7">
        <v>2</v>
      </c>
      <c r="J81">
        <v>0</v>
      </c>
      <c r="K81">
        <v>2</v>
      </c>
      <c r="L81" s="8">
        <v>3</v>
      </c>
      <c r="M81">
        <v>0</v>
      </c>
      <c r="N81" s="9">
        <v>0</v>
      </c>
      <c r="O81" s="9" t="s">
        <v>33</v>
      </c>
    </row>
    <row r="82" spans="1:15">
      <c r="A82" s="11" t="s">
        <v>66</v>
      </c>
      <c r="B82" s="11"/>
      <c r="C82" s="27"/>
      <c r="D82" s="27"/>
      <c r="E82" s="12"/>
      <c r="F82" s="15">
        <v>4</v>
      </c>
      <c r="G82" s="6">
        <v>1</v>
      </c>
      <c r="H82" s="6">
        <v>0</v>
      </c>
      <c r="I82" s="7">
        <v>0</v>
      </c>
      <c r="J82">
        <v>0</v>
      </c>
      <c r="K82">
        <v>0</v>
      </c>
      <c r="L82" s="8">
        <v>4</v>
      </c>
      <c r="M82">
        <v>0</v>
      </c>
      <c r="N82" s="9">
        <v>1</v>
      </c>
      <c r="O82" s="9" t="s">
        <v>29</v>
      </c>
    </row>
    <row r="83" spans="1:15">
      <c r="A83" s="11" t="s">
        <v>67</v>
      </c>
      <c r="B83" s="11"/>
      <c r="C83" s="27"/>
      <c r="D83" s="27"/>
      <c r="E83" s="12"/>
      <c r="F83">
        <v>2</v>
      </c>
      <c r="G83" s="8">
        <v>3</v>
      </c>
      <c r="H83">
        <v>1</v>
      </c>
      <c r="I83" s="9">
        <v>0</v>
      </c>
      <c r="J83">
        <v>1</v>
      </c>
      <c r="K83">
        <v>1</v>
      </c>
      <c r="L83">
        <v>1</v>
      </c>
      <c r="M83">
        <v>1</v>
      </c>
      <c r="N83" s="10">
        <v>4</v>
      </c>
      <c r="O83" s="9" t="s">
        <v>29</v>
      </c>
    </row>
    <row r="84" spans="1:15">
      <c r="A84" s="13" t="s">
        <v>199</v>
      </c>
      <c r="B84" s="13"/>
      <c r="C84" s="27"/>
      <c r="D84" s="27"/>
      <c r="E84" s="12"/>
      <c r="F84" s="8">
        <v>3</v>
      </c>
      <c r="G84" s="21">
        <v>2</v>
      </c>
      <c r="H84">
        <v>1</v>
      </c>
      <c r="I84" s="9">
        <v>0</v>
      </c>
      <c r="N84" s="10"/>
    </row>
    <row r="85" spans="1:15">
      <c r="A85" s="13" t="s">
        <v>200</v>
      </c>
      <c r="B85" s="13"/>
      <c r="C85" s="27"/>
      <c r="D85" s="27"/>
      <c r="E85" s="12"/>
      <c r="F85">
        <v>2</v>
      </c>
      <c r="G85" s="8">
        <v>4</v>
      </c>
      <c r="H85">
        <v>0</v>
      </c>
      <c r="I85" s="9">
        <v>0</v>
      </c>
      <c r="N85" s="10"/>
    </row>
    <row r="86" spans="1:15">
      <c r="A86" s="11" t="s">
        <v>68</v>
      </c>
      <c r="B86" s="11"/>
      <c r="C86" s="27"/>
      <c r="D86" s="27"/>
      <c r="E86" s="12"/>
      <c r="F86" s="15">
        <v>4</v>
      </c>
      <c r="G86" s="6">
        <v>1</v>
      </c>
      <c r="H86" s="6">
        <v>0</v>
      </c>
      <c r="I86" s="7">
        <v>0</v>
      </c>
      <c r="J86">
        <v>0</v>
      </c>
      <c r="K86">
        <v>0</v>
      </c>
      <c r="L86">
        <v>0</v>
      </c>
      <c r="M86">
        <v>0</v>
      </c>
      <c r="N86" s="10">
        <v>5</v>
      </c>
      <c r="O86" s="9" t="s">
        <v>36</v>
      </c>
    </row>
    <row r="87" spans="1:15">
      <c r="A87" s="11" t="s">
        <v>69</v>
      </c>
      <c r="B87" s="11"/>
      <c r="C87" s="27"/>
      <c r="D87" s="27"/>
      <c r="E87" s="12"/>
      <c r="F87" s="15">
        <v>4</v>
      </c>
      <c r="G87" s="6">
        <v>1</v>
      </c>
      <c r="H87" s="6">
        <v>0</v>
      </c>
      <c r="I87" s="7">
        <v>0</v>
      </c>
      <c r="J87">
        <v>0</v>
      </c>
      <c r="K87">
        <v>0</v>
      </c>
      <c r="L87">
        <v>2</v>
      </c>
      <c r="M87">
        <v>0</v>
      </c>
      <c r="N87" s="10">
        <v>4</v>
      </c>
      <c r="O87" s="9" t="s">
        <v>36</v>
      </c>
    </row>
    <row r="88" spans="1:15">
      <c r="A88" s="11" t="s">
        <v>70</v>
      </c>
      <c r="B88" s="11"/>
      <c r="C88" s="27"/>
      <c r="D88" s="27"/>
      <c r="E88" s="12"/>
      <c r="F88">
        <v>2</v>
      </c>
      <c r="G88">
        <v>2</v>
      </c>
      <c r="H88" s="8">
        <v>3</v>
      </c>
      <c r="I88" s="9">
        <v>0</v>
      </c>
      <c r="J88">
        <v>1</v>
      </c>
      <c r="K88">
        <v>1</v>
      </c>
      <c r="L88">
        <v>1</v>
      </c>
      <c r="M88">
        <v>1</v>
      </c>
      <c r="N88" s="10">
        <v>4</v>
      </c>
      <c r="O88" s="9" t="s">
        <v>27</v>
      </c>
    </row>
    <row r="89" spans="1:15">
      <c r="A89" s="13" t="s">
        <v>218</v>
      </c>
      <c r="B89" s="13"/>
      <c r="C89" s="27"/>
      <c r="D89" s="27"/>
      <c r="E89" s="12"/>
      <c r="F89">
        <v>2</v>
      </c>
      <c r="G89">
        <v>2</v>
      </c>
      <c r="H89" s="8">
        <v>4</v>
      </c>
      <c r="I89" s="9">
        <v>0</v>
      </c>
      <c r="J89">
        <v>1</v>
      </c>
      <c r="K89">
        <v>1</v>
      </c>
      <c r="L89">
        <v>1</v>
      </c>
      <c r="M89">
        <v>1</v>
      </c>
      <c r="N89" s="10">
        <v>4</v>
      </c>
    </row>
    <row r="90" spans="1:15" s="21" customFormat="1">
      <c r="A90" s="11" t="s">
        <v>128</v>
      </c>
      <c r="B90" s="11"/>
      <c r="C90" s="27"/>
      <c r="D90" s="27"/>
      <c r="E90" s="12"/>
      <c r="F90" s="15">
        <v>4</v>
      </c>
      <c r="G90" s="6">
        <v>1</v>
      </c>
      <c r="H90" s="6">
        <v>0</v>
      </c>
      <c r="I90" s="7">
        <v>0</v>
      </c>
      <c r="J90">
        <v>0</v>
      </c>
      <c r="K90">
        <v>0</v>
      </c>
      <c r="L90" s="8">
        <v>5</v>
      </c>
      <c r="M90">
        <v>0</v>
      </c>
      <c r="N90" s="9">
        <v>0</v>
      </c>
      <c r="O90" s="9" t="s">
        <v>29</v>
      </c>
    </row>
    <row r="91" spans="1:15">
      <c r="A91" s="11" t="s">
        <v>71</v>
      </c>
      <c r="B91" s="11"/>
      <c r="C91" s="27"/>
      <c r="D91" s="27"/>
      <c r="E91" s="12"/>
      <c r="F91" s="15">
        <v>4</v>
      </c>
      <c r="G91" s="6">
        <v>1</v>
      </c>
      <c r="H91" s="6">
        <v>0</v>
      </c>
      <c r="I91" s="7">
        <v>0</v>
      </c>
      <c r="J91">
        <v>0</v>
      </c>
      <c r="K91">
        <v>0</v>
      </c>
      <c r="L91">
        <v>2</v>
      </c>
      <c r="M91">
        <v>0</v>
      </c>
      <c r="N91" s="10">
        <v>4</v>
      </c>
      <c r="O91" s="9" t="s">
        <v>29</v>
      </c>
    </row>
    <row r="92" spans="1:15">
      <c r="A92" s="11" t="s">
        <v>72</v>
      </c>
      <c r="B92" s="11"/>
      <c r="C92" s="27"/>
      <c r="D92" s="27"/>
      <c r="E92" s="12"/>
      <c r="F92" s="15">
        <v>4</v>
      </c>
      <c r="G92" s="6">
        <v>1</v>
      </c>
      <c r="H92" s="6">
        <v>0</v>
      </c>
      <c r="I92" s="7">
        <v>0</v>
      </c>
      <c r="J92">
        <v>0</v>
      </c>
      <c r="K92">
        <v>0</v>
      </c>
      <c r="L92" s="8">
        <v>4</v>
      </c>
      <c r="M92">
        <v>0</v>
      </c>
      <c r="N92" s="9">
        <v>1</v>
      </c>
      <c r="O92" s="9" t="s">
        <v>27</v>
      </c>
    </row>
    <row r="93" spans="1:15">
      <c r="A93" s="11" t="s">
        <v>73</v>
      </c>
      <c r="B93" s="11"/>
      <c r="C93" s="27"/>
      <c r="D93" s="27"/>
      <c r="E93" s="12"/>
      <c r="F93" s="8">
        <v>5</v>
      </c>
      <c r="G93">
        <v>1</v>
      </c>
      <c r="H93">
        <v>1</v>
      </c>
      <c r="I93" s="9">
        <v>0</v>
      </c>
      <c r="J93">
        <v>0</v>
      </c>
      <c r="K93">
        <v>0</v>
      </c>
      <c r="L93">
        <v>0</v>
      </c>
      <c r="M93">
        <v>0</v>
      </c>
      <c r="N93" s="10">
        <v>5</v>
      </c>
      <c r="O93" s="9" t="s">
        <v>36</v>
      </c>
    </row>
    <row r="94" spans="1:15">
      <c r="A94" s="11" t="s">
        <v>219</v>
      </c>
      <c r="B94" s="11"/>
      <c r="C94" s="27"/>
      <c r="D94" s="27"/>
      <c r="E94" s="12"/>
      <c r="F94" s="15">
        <v>5</v>
      </c>
      <c r="G94" s="6">
        <v>1</v>
      </c>
      <c r="H94" s="6">
        <v>1</v>
      </c>
      <c r="I94" s="7">
        <v>0</v>
      </c>
      <c r="J94">
        <v>0</v>
      </c>
      <c r="K94">
        <v>0</v>
      </c>
      <c r="L94">
        <v>0</v>
      </c>
      <c r="M94">
        <v>0</v>
      </c>
      <c r="N94" s="10">
        <v>5</v>
      </c>
    </row>
    <row r="95" spans="1:15">
      <c r="A95" s="11" t="s">
        <v>74</v>
      </c>
      <c r="B95" s="11"/>
      <c r="C95" s="27"/>
      <c r="D95" s="27"/>
      <c r="E95" s="12"/>
      <c r="F95" s="16">
        <v>0</v>
      </c>
      <c r="G95" s="16">
        <v>0</v>
      </c>
      <c r="H95" s="17">
        <v>3</v>
      </c>
      <c r="I95" s="18">
        <v>2</v>
      </c>
      <c r="J95">
        <v>0</v>
      </c>
      <c r="K95" s="8">
        <v>3</v>
      </c>
      <c r="L95">
        <v>0</v>
      </c>
      <c r="M95">
        <v>1</v>
      </c>
      <c r="N95" s="9">
        <v>0</v>
      </c>
      <c r="O95" s="9" t="s">
        <v>36</v>
      </c>
    </row>
    <row r="96" spans="1:15">
      <c r="A96" s="11" t="s">
        <v>75</v>
      </c>
      <c r="B96" s="11"/>
      <c r="C96" s="27"/>
      <c r="D96" s="27"/>
      <c r="E96" s="12"/>
      <c r="F96" s="15">
        <v>4</v>
      </c>
      <c r="G96" s="6">
        <v>3</v>
      </c>
      <c r="H96" s="6">
        <v>1</v>
      </c>
      <c r="I96" s="7">
        <v>0</v>
      </c>
      <c r="J96">
        <v>0</v>
      </c>
      <c r="K96">
        <v>1</v>
      </c>
      <c r="L96">
        <v>0</v>
      </c>
      <c r="M96" s="8">
        <v>4</v>
      </c>
      <c r="N96" s="9">
        <v>0</v>
      </c>
      <c r="O96" s="9" t="s">
        <v>27</v>
      </c>
    </row>
    <row r="97" spans="1:15">
      <c r="A97" s="11" t="s">
        <v>76</v>
      </c>
      <c r="B97" s="11"/>
      <c r="C97" s="27"/>
      <c r="D97" s="27"/>
      <c r="E97" s="12"/>
      <c r="F97" s="15">
        <v>4</v>
      </c>
      <c r="G97" s="6">
        <v>1</v>
      </c>
      <c r="H97" s="6">
        <v>0</v>
      </c>
      <c r="I97" s="7">
        <v>0</v>
      </c>
      <c r="J97">
        <v>0</v>
      </c>
      <c r="K97">
        <v>1</v>
      </c>
      <c r="L97">
        <v>0</v>
      </c>
      <c r="M97" s="8">
        <v>4</v>
      </c>
      <c r="N97" s="9">
        <v>0</v>
      </c>
      <c r="O97" s="9" t="s">
        <v>36</v>
      </c>
    </row>
    <row r="98" spans="1:15">
      <c r="A98" s="11" t="s">
        <v>77</v>
      </c>
      <c r="B98" s="11"/>
      <c r="C98" s="27"/>
      <c r="D98" s="27"/>
      <c r="E98" s="12"/>
      <c r="F98">
        <v>1</v>
      </c>
      <c r="G98" s="8">
        <v>5</v>
      </c>
      <c r="H98">
        <v>0</v>
      </c>
      <c r="I98" s="9">
        <v>0</v>
      </c>
      <c r="J98">
        <v>2</v>
      </c>
      <c r="K98" s="8">
        <v>3</v>
      </c>
      <c r="L98">
        <v>2</v>
      </c>
      <c r="M98">
        <v>0</v>
      </c>
      <c r="N98" s="9">
        <v>0</v>
      </c>
      <c r="O98" s="9" t="s">
        <v>36</v>
      </c>
    </row>
    <row r="99" spans="1:15">
      <c r="A99" s="11" t="s">
        <v>78</v>
      </c>
      <c r="B99" s="11"/>
      <c r="C99" s="27"/>
      <c r="D99" s="27"/>
      <c r="E99" s="12"/>
      <c r="F99">
        <v>0</v>
      </c>
      <c r="G99">
        <v>1</v>
      </c>
      <c r="H99">
        <v>2</v>
      </c>
      <c r="I99" s="10">
        <v>4</v>
      </c>
      <c r="J99">
        <v>2</v>
      </c>
      <c r="K99" s="8">
        <v>3</v>
      </c>
      <c r="L99">
        <v>1</v>
      </c>
      <c r="M99">
        <v>0</v>
      </c>
      <c r="N99" s="9">
        <v>0</v>
      </c>
      <c r="O99" s="9" t="s">
        <v>27</v>
      </c>
    </row>
    <row r="100" spans="1:15">
      <c r="A100" s="11" t="s">
        <v>79</v>
      </c>
      <c r="B100" s="11"/>
      <c r="C100" s="27"/>
      <c r="D100" s="27"/>
      <c r="E100" s="12"/>
      <c r="F100">
        <v>0</v>
      </c>
      <c r="G100">
        <v>1</v>
      </c>
      <c r="H100">
        <v>2</v>
      </c>
      <c r="I100" s="10">
        <v>4</v>
      </c>
      <c r="J100">
        <v>2</v>
      </c>
      <c r="K100" s="8">
        <v>3</v>
      </c>
      <c r="L100">
        <v>1</v>
      </c>
      <c r="M100">
        <v>0</v>
      </c>
      <c r="N100" s="9">
        <v>0</v>
      </c>
      <c r="O100" s="9" t="s">
        <v>27</v>
      </c>
    </row>
    <row r="101" spans="1:15">
      <c r="A101" s="11" t="s">
        <v>80</v>
      </c>
      <c r="B101" s="11"/>
      <c r="C101" s="27"/>
      <c r="D101" s="27"/>
      <c r="E101" s="12"/>
      <c r="F101">
        <v>0</v>
      </c>
      <c r="G101">
        <v>1</v>
      </c>
      <c r="H101">
        <v>2</v>
      </c>
      <c r="I101" s="10">
        <v>4</v>
      </c>
      <c r="J101">
        <v>2</v>
      </c>
      <c r="K101" s="8">
        <v>3</v>
      </c>
      <c r="L101">
        <v>1</v>
      </c>
      <c r="M101">
        <v>0</v>
      </c>
      <c r="N101" s="9">
        <v>0</v>
      </c>
      <c r="O101" s="9" t="s">
        <v>33</v>
      </c>
    </row>
    <row r="102" spans="1:15">
      <c r="A102" s="13" t="s">
        <v>204</v>
      </c>
      <c r="B102" s="13"/>
      <c r="C102" s="27"/>
      <c r="D102" s="27"/>
      <c r="E102" s="12"/>
      <c r="F102">
        <v>0</v>
      </c>
      <c r="G102">
        <v>2</v>
      </c>
      <c r="H102">
        <v>2</v>
      </c>
      <c r="I102" s="10">
        <v>4</v>
      </c>
      <c r="K102" s="21"/>
    </row>
    <row r="103" spans="1:15">
      <c r="A103" s="13" t="s">
        <v>205</v>
      </c>
      <c r="B103" s="13"/>
      <c r="C103" s="27"/>
      <c r="D103" s="27"/>
      <c r="E103" s="12"/>
      <c r="F103">
        <v>0</v>
      </c>
      <c r="G103">
        <v>1</v>
      </c>
      <c r="H103">
        <v>2</v>
      </c>
      <c r="I103" s="10">
        <v>4</v>
      </c>
      <c r="K103" s="21"/>
    </row>
    <row r="104" spans="1:15">
      <c r="A104" s="13" t="s">
        <v>206</v>
      </c>
      <c r="B104" s="13"/>
      <c r="C104" s="27"/>
      <c r="D104" s="27"/>
      <c r="E104" s="12"/>
      <c r="F104">
        <v>0</v>
      </c>
      <c r="G104">
        <v>1</v>
      </c>
      <c r="H104">
        <v>2</v>
      </c>
      <c r="I104" s="10">
        <v>5</v>
      </c>
      <c r="K104" s="21"/>
    </row>
    <row r="105" spans="1:15">
      <c r="A105" s="13" t="s">
        <v>207</v>
      </c>
      <c r="B105" s="13"/>
      <c r="C105" s="27"/>
      <c r="D105" s="27"/>
      <c r="E105" s="12"/>
      <c r="F105">
        <v>0</v>
      </c>
      <c r="G105">
        <v>0</v>
      </c>
      <c r="H105">
        <v>2</v>
      </c>
      <c r="I105" s="10">
        <v>5</v>
      </c>
      <c r="K105" s="21"/>
    </row>
    <row r="106" spans="1:15">
      <c r="A106" s="11" t="s">
        <v>81</v>
      </c>
      <c r="B106" s="11"/>
      <c r="C106" s="27"/>
      <c r="D106" s="27"/>
      <c r="E106" s="12"/>
      <c r="F106" s="6">
        <v>0</v>
      </c>
      <c r="G106" s="6">
        <v>1</v>
      </c>
      <c r="H106" s="6">
        <v>2</v>
      </c>
      <c r="I106" s="19">
        <v>3</v>
      </c>
      <c r="J106">
        <v>1</v>
      </c>
      <c r="K106" s="8">
        <v>4</v>
      </c>
      <c r="L106">
        <v>1</v>
      </c>
      <c r="M106">
        <v>1</v>
      </c>
      <c r="N106" s="9">
        <v>0</v>
      </c>
      <c r="O106" s="9" t="s">
        <v>36</v>
      </c>
    </row>
    <row r="107" spans="1:15">
      <c r="A107" s="11" t="s">
        <v>82</v>
      </c>
      <c r="B107" s="11"/>
      <c r="C107" s="27"/>
      <c r="D107" s="27"/>
      <c r="E107" s="12"/>
      <c r="F107" s="20">
        <v>0</v>
      </c>
      <c r="G107" s="6">
        <v>0</v>
      </c>
      <c r="H107" s="6">
        <v>3</v>
      </c>
      <c r="I107" s="19">
        <v>4</v>
      </c>
      <c r="J107" s="8">
        <v>4</v>
      </c>
      <c r="K107">
        <v>3</v>
      </c>
      <c r="L107" s="21">
        <v>0</v>
      </c>
      <c r="M107">
        <v>0</v>
      </c>
      <c r="N107" s="9">
        <v>0</v>
      </c>
      <c r="O107" s="9" t="s">
        <v>33</v>
      </c>
    </row>
    <row r="108" spans="1:15">
      <c r="A108" s="11" t="s">
        <v>83</v>
      </c>
      <c r="B108" s="11"/>
      <c r="C108" s="27"/>
      <c r="D108" s="27"/>
      <c r="E108" s="12"/>
      <c r="F108" s="6">
        <v>0</v>
      </c>
      <c r="G108" s="6">
        <v>1</v>
      </c>
      <c r="H108" s="6">
        <v>2</v>
      </c>
      <c r="I108" s="19">
        <v>3</v>
      </c>
      <c r="J108" s="8">
        <v>4</v>
      </c>
      <c r="K108">
        <v>2</v>
      </c>
      <c r="L108">
        <v>1</v>
      </c>
      <c r="M108">
        <v>0</v>
      </c>
      <c r="N108" s="9">
        <v>0</v>
      </c>
      <c r="O108" s="9" t="s">
        <v>36</v>
      </c>
    </row>
    <row r="109" spans="1:15">
      <c r="A109" s="11" t="s">
        <v>84</v>
      </c>
      <c r="B109" s="11"/>
      <c r="C109" s="27"/>
      <c r="D109" s="27"/>
      <c r="E109" s="12"/>
      <c r="F109" s="6">
        <v>0</v>
      </c>
      <c r="G109" s="6">
        <v>1</v>
      </c>
      <c r="H109" s="6">
        <v>2</v>
      </c>
      <c r="I109" s="19">
        <v>3</v>
      </c>
      <c r="J109" s="8">
        <v>4</v>
      </c>
      <c r="K109">
        <v>2</v>
      </c>
      <c r="L109">
        <v>1</v>
      </c>
      <c r="M109">
        <v>0</v>
      </c>
      <c r="N109" s="9">
        <v>0</v>
      </c>
      <c r="O109" s="9" t="s">
        <v>36</v>
      </c>
    </row>
    <row r="110" spans="1:15">
      <c r="A110" s="11" t="s">
        <v>85</v>
      </c>
      <c r="B110" s="11"/>
      <c r="C110" s="27"/>
      <c r="D110" s="27"/>
      <c r="E110" s="12"/>
      <c r="F110" s="23">
        <v>0</v>
      </c>
      <c r="G110" s="23">
        <v>2</v>
      </c>
      <c r="H110" s="17">
        <v>3</v>
      </c>
      <c r="I110" s="25">
        <v>1</v>
      </c>
      <c r="J110">
        <v>2</v>
      </c>
      <c r="K110" s="8">
        <v>3</v>
      </c>
      <c r="L110">
        <v>2</v>
      </c>
      <c r="M110">
        <v>0</v>
      </c>
      <c r="N110" s="9">
        <v>0</v>
      </c>
      <c r="O110" s="9" t="s">
        <v>33</v>
      </c>
    </row>
    <row r="111" spans="1:15">
      <c r="A111" s="27" t="s">
        <v>86</v>
      </c>
      <c r="B111" s="27"/>
      <c r="C111" s="27"/>
      <c r="D111" s="27"/>
      <c r="E111" s="28"/>
      <c r="F111" s="15">
        <v>4</v>
      </c>
      <c r="G111" s="6">
        <v>1</v>
      </c>
      <c r="H111" s="6">
        <v>0</v>
      </c>
      <c r="I111" s="7">
        <v>0</v>
      </c>
      <c r="J111">
        <v>0</v>
      </c>
      <c r="K111">
        <v>2</v>
      </c>
      <c r="L111">
        <v>2</v>
      </c>
      <c r="M111" s="8">
        <v>3</v>
      </c>
      <c r="N111" s="9">
        <v>0</v>
      </c>
      <c r="O111" s="9" t="s">
        <v>36</v>
      </c>
    </row>
    <row r="112" spans="1:15">
      <c r="A112" s="11" t="s">
        <v>87</v>
      </c>
      <c r="B112" s="11"/>
      <c r="C112" s="27"/>
      <c r="D112" s="27"/>
      <c r="E112" s="12"/>
      <c r="F112" s="20">
        <v>0</v>
      </c>
      <c r="G112" s="6">
        <v>2</v>
      </c>
      <c r="H112" s="6">
        <v>3</v>
      </c>
      <c r="I112" s="19">
        <v>4</v>
      </c>
      <c r="J112">
        <v>1</v>
      </c>
      <c r="K112" s="8">
        <v>4</v>
      </c>
      <c r="L112">
        <v>0</v>
      </c>
      <c r="M112">
        <v>1</v>
      </c>
      <c r="N112" s="9">
        <v>0</v>
      </c>
      <c r="O112" s="9" t="s">
        <v>36</v>
      </c>
    </row>
    <row r="113" spans="1:15">
      <c r="A113" s="11" t="s">
        <v>88</v>
      </c>
      <c r="B113" s="11"/>
      <c r="C113" s="27"/>
      <c r="D113" s="27"/>
      <c r="E113" s="12"/>
      <c r="F113">
        <v>0</v>
      </c>
      <c r="G113" s="8">
        <v>3</v>
      </c>
      <c r="H113">
        <v>2</v>
      </c>
      <c r="I113" s="9">
        <v>2</v>
      </c>
      <c r="J113">
        <v>1</v>
      </c>
      <c r="K113">
        <v>2</v>
      </c>
      <c r="L113" s="8">
        <v>3</v>
      </c>
      <c r="M113">
        <v>1</v>
      </c>
      <c r="N113" s="9">
        <v>0</v>
      </c>
      <c r="O113" s="9" t="s">
        <v>27</v>
      </c>
    </row>
    <row r="114" spans="1:15">
      <c r="A114" s="13" t="s">
        <v>208</v>
      </c>
      <c r="B114" s="13"/>
      <c r="C114" s="27"/>
      <c r="D114" s="27"/>
      <c r="E114" s="12"/>
      <c r="F114">
        <v>0</v>
      </c>
      <c r="G114" s="8">
        <v>3</v>
      </c>
      <c r="H114">
        <v>2</v>
      </c>
      <c r="I114" s="9">
        <v>2</v>
      </c>
      <c r="L114" s="21"/>
    </row>
    <row r="115" spans="1:15">
      <c r="A115" s="11" t="s">
        <v>89</v>
      </c>
      <c r="B115" s="11"/>
      <c r="C115" s="27"/>
      <c r="D115" s="27"/>
      <c r="E115" s="12"/>
      <c r="F115" s="6">
        <v>0</v>
      </c>
      <c r="G115" s="6">
        <v>1</v>
      </c>
      <c r="H115" s="6">
        <v>3</v>
      </c>
      <c r="I115" s="19">
        <v>4</v>
      </c>
      <c r="J115">
        <v>2</v>
      </c>
      <c r="K115" s="8">
        <v>3</v>
      </c>
      <c r="L115" s="21">
        <v>2</v>
      </c>
      <c r="M115">
        <v>0</v>
      </c>
      <c r="N115" s="9">
        <v>0</v>
      </c>
      <c r="O115" s="9" t="s">
        <v>33</v>
      </c>
    </row>
    <row r="116" spans="1:15">
      <c r="A116" s="11" t="s">
        <v>90</v>
      </c>
      <c r="B116" s="11"/>
      <c r="C116" s="27"/>
      <c r="D116" s="27"/>
      <c r="E116" s="12"/>
      <c r="F116" s="6">
        <v>1</v>
      </c>
      <c r="G116" s="15">
        <v>3</v>
      </c>
      <c r="H116" s="6">
        <v>2</v>
      </c>
      <c r="I116" s="7">
        <v>1</v>
      </c>
      <c r="J116">
        <v>2</v>
      </c>
      <c r="K116">
        <v>2</v>
      </c>
      <c r="L116">
        <v>2</v>
      </c>
      <c r="M116">
        <v>2</v>
      </c>
      <c r="N116" s="9">
        <v>0</v>
      </c>
      <c r="O116" s="9" t="s">
        <v>36</v>
      </c>
    </row>
    <row r="117" spans="1:15">
      <c r="A117" s="11" t="s">
        <v>91</v>
      </c>
      <c r="B117" s="11"/>
      <c r="C117" s="27"/>
      <c r="D117" s="27"/>
      <c r="E117" s="12"/>
      <c r="F117">
        <v>0</v>
      </c>
      <c r="G117">
        <v>1</v>
      </c>
      <c r="H117" s="8">
        <v>3</v>
      </c>
      <c r="I117" s="9">
        <v>2</v>
      </c>
      <c r="J117">
        <v>2</v>
      </c>
      <c r="K117">
        <v>2</v>
      </c>
      <c r="L117">
        <v>2</v>
      </c>
      <c r="M117">
        <v>2</v>
      </c>
      <c r="N117" s="9">
        <v>0</v>
      </c>
      <c r="O117" s="9" t="s">
        <v>27</v>
      </c>
    </row>
    <row r="118" spans="1:15">
      <c r="A118" s="13" t="s">
        <v>209</v>
      </c>
      <c r="B118" s="13"/>
      <c r="C118" s="27"/>
      <c r="D118" s="27"/>
      <c r="E118" s="12"/>
      <c r="F118">
        <v>0</v>
      </c>
      <c r="G118">
        <v>2</v>
      </c>
      <c r="H118">
        <v>3</v>
      </c>
      <c r="I118" s="10">
        <v>4</v>
      </c>
    </row>
    <row r="119" spans="1:15">
      <c r="A119" s="11" t="s">
        <v>129</v>
      </c>
      <c r="B119" s="11"/>
      <c r="C119" s="27"/>
      <c r="D119" s="27"/>
      <c r="E119" s="12"/>
      <c r="F119" s="6">
        <v>0</v>
      </c>
      <c r="G119" s="6">
        <v>0</v>
      </c>
      <c r="H119" s="6">
        <v>1</v>
      </c>
      <c r="I119" s="19">
        <v>4</v>
      </c>
      <c r="J119" s="8">
        <v>4</v>
      </c>
      <c r="K119" s="21">
        <v>1</v>
      </c>
      <c r="L119">
        <v>0</v>
      </c>
      <c r="M119">
        <v>0</v>
      </c>
      <c r="N119" s="9">
        <v>0</v>
      </c>
      <c r="O119" s="9" t="s">
        <v>36</v>
      </c>
    </row>
    <row r="120" spans="1:15">
      <c r="A120" s="11" t="s">
        <v>92</v>
      </c>
      <c r="B120" s="11"/>
      <c r="C120" s="27"/>
      <c r="D120" s="27"/>
      <c r="E120" s="12"/>
      <c r="F120" s="6">
        <v>1</v>
      </c>
      <c r="G120" s="15">
        <v>3</v>
      </c>
      <c r="H120" s="6">
        <v>2</v>
      </c>
      <c r="I120" s="7">
        <v>1</v>
      </c>
      <c r="J120">
        <v>2</v>
      </c>
      <c r="K120" s="8">
        <v>3</v>
      </c>
      <c r="L120">
        <v>2</v>
      </c>
      <c r="M120">
        <v>2</v>
      </c>
      <c r="N120" s="9">
        <v>0</v>
      </c>
      <c r="O120" s="9" t="s">
        <v>36</v>
      </c>
    </row>
    <row r="121" spans="1:15">
      <c r="A121" s="11" t="s">
        <v>93</v>
      </c>
      <c r="B121" s="11"/>
      <c r="C121" s="27"/>
      <c r="D121" s="27"/>
      <c r="E121" s="12"/>
      <c r="F121" s="6">
        <v>0</v>
      </c>
      <c r="G121" s="6">
        <v>1</v>
      </c>
      <c r="H121" s="15">
        <v>3</v>
      </c>
      <c r="I121" s="7">
        <v>2</v>
      </c>
      <c r="J121">
        <v>0</v>
      </c>
      <c r="K121" s="8">
        <v>3</v>
      </c>
      <c r="L121">
        <v>2</v>
      </c>
      <c r="M121">
        <v>0</v>
      </c>
      <c r="N121" s="9">
        <v>0</v>
      </c>
      <c r="O121" s="9" t="s">
        <v>33</v>
      </c>
    </row>
    <row r="122" spans="1:15">
      <c r="A122" s="11" t="s">
        <v>94</v>
      </c>
      <c r="B122" s="11"/>
      <c r="C122" s="27"/>
      <c r="D122" s="27"/>
      <c r="E122" s="12"/>
      <c r="F122" s="8">
        <v>4</v>
      </c>
      <c r="G122">
        <v>2</v>
      </c>
      <c r="H122">
        <v>1</v>
      </c>
      <c r="I122" s="9">
        <v>0</v>
      </c>
      <c r="J122">
        <v>1</v>
      </c>
      <c r="K122">
        <v>2</v>
      </c>
      <c r="L122" s="8">
        <v>3</v>
      </c>
      <c r="M122">
        <v>1</v>
      </c>
      <c r="N122" s="9">
        <v>2</v>
      </c>
      <c r="O122" s="9" t="s">
        <v>27</v>
      </c>
    </row>
    <row r="123" spans="1:15">
      <c r="A123" s="11" t="s">
        <v>95</v>
      </c>
      <c r="B123" s="11"/>
      <c r="C123" s="27"/>
      <c r="D123" s="27"/>
      <c r="E123" s="12"/>
      <c r="F123">
        <v>0</v>
      </c>
      <c r="G123">
        <v>0</v>
      </c>
      <c r="H123" s="8">
        <v>4</v>
      </c>
      <c r="I123" s="9">
        <v>2</v>
      </c>
      <c r="J123">
        <v>1</v>
      </c>
      <c r="K123" s="8">
        <v>4</v>
      </c>
      <c r="L123">
        <v>1</v>
      </c>
      <c r="M123">
        <v>0</v>
      </c>
      <c r="N123" s="9">
        <v>0</v>
      </c>
      <c r="O123" s="9" t="s">
        <v>36</v>
      </c>
    </row>
    <row r="124" spans="1:15">
      <c r="A124" s="11" t="s">
        <v>96</v>
      </c>
      <c r="B124" s="11"/>
      <c r="C124" s="27"/>
      <c r="D124" s="27"/>
      <c r="E124" s="12"/>
      <c r="F124" s="6">
        <v>0</v>
      </c>
      <c r="G124" s="6">
        <v>0</v>
      </c>
      <c r="H124" s="6">
        <v>2</v>
      </c>
      <c r="I124" s="19">
        <v>4</v>
      </c>
      <c r="J124">
        <v>1</v>
      </c>
      <c r="K124" s="8">
        <v>4</v>
      </c>
      <c r="L124">
        <v>1</v>
      </c>
      <c r="M124">
        <v>0</v>
      </c>
      <c r="N124" s="9">
        <v>0</v>
      </c>
      <c r="O124" s="9" t="s">
        <v>36</v>
      </c>
    </row>
    <row r="125" spans="1:15" s="21" customFormat="1">
      <c r="A125" s="11" t="s">
        <v>97</v>
      </c>
      <c r="B125" s="11"/>
      <c r="C125" s="27"/>
      <c r="D125" s="27"/>
      <c r="E125" s="12"/>
      <c r="F125">
        <v>1</v>
      </c>
      <c r="G125">
        <v>2</v>
      </c>
      <c r="H125">
        <v>2</v>
      </c>
      <c r="I125" s="10">
        <v>3</v>
      </c>
      <c r="J125">
        <v>0</v>
      </c>
      <c r="K125">
        <v>0</v>
      </c>
      <c r="L125">
        <v>0</v>
      </c>
      <c r="M125">
        <v>0</v>
      </c>
      <c r="N125" s="10">
        <v>5</v>
      </c>
      <c r="O125" s="9" t="s">
        <v>27</v>
      </c>
    </row>
    <row r="126" spans="1:15">
      <c r="A126" s="27" t="s">
        <v>130</v>
      </c>
      <c r="B126" s="27"/>
      <c r="C126" s="27"/>
      <c r="D126" s="27"/>
      <c r="E126" s="29"/>
      <c r="F126" s="20">
        <v>3</v>
      </c>
      <c r="G126" s="15">
        <v>4</v>
      </c>
      <c r="H126" s="20">
        <v>1</v>
      </c>
      <c r="I126" s="26">
        <v>1</v>
      </c>
      <c r="J126" s="20">
        <v>1</v>
      </c>
      <c r="K126" s="20">
        <v>1</v>
      </c>
      <c r="L126" s="15">
        <v>4</v>
      </c>
      <c r="M126" s="20">
        <v>1</v>
      </c>
      <c r="N126" s="26">
        <v>1</v>
      </c>
      <c r="O126" s="22" t="s">
        <v>27</v>
      </c>
    </row>
    <row r="127" spans="1:15">
      <c r="A127" s="11" t="s">
        <v>98</v>
      </c>
      <c r="B127" s="11"/>
      <c r="C127" s="27"/>
      <c r="D127" s="27"/>
      <c r="E127" s="12"/>
      <c r="F127" s="6">
        <v>2</v>
      </c>
      <c r="G127" s="6">
        <v>2</v>
      </c>
      <c r="H127" s="6">
        <v>2</v>
      </c>
      <c r="I127" s="7">
        <v>1</v>
      </c>
      <c r="J127">
        <v>0</v>
      </c>
      <c r="K127">
        <v>2</v>
      </c>
      <c r="L127" s="8">
        <v>3</v>
      </c>
      <c r="M127">
        <v>0</v>
      </c>
      <c r="N127" s="9">
        <v>0</v>
      </c>
      <c r="O127" s="9" t="s">
        <v>33</v>
      </c>
    </row>
    <row r="128" spans="1:15">
      <c r="A128" s="11" t="s">
        <v>99</v>
      </c>
      <c r="B128" s="11"/>
      <c r="C128" s="27"/>
      <c r="D128" s="27"/>
      <c r="E128" s="12"/>
      <c r="F128">
        <v>2</v>
      </c>
      <c r="G128">
        <v>2</v>
      </c>
      <c r="H128" s="8">
        <v>3</v>
      </c>
      <c r="I128" s="9">
        <v>2</v>
      </c>
      <c r="J128">
        <v>0</v>
      </c>
      <c r="K128">
        <v>1</v>
      </c>
      <c r="L128" s="8">
        <v>3</v>
      </c>
      <c r="M128">
        <v>1</v>
      </c>
      <c r="N128" s="9">
        <v>2</v>
      </c>
      <c r="O128" s="9" t="s">
        <v>36</v>
      </c>
    </row>
    <row r="129" spans="1:15">
      <c r="A129" s="11" t="s">
        <v>100</v>
      </c>
      <c r="B129" s="11"/>
      <c r="C129" s="27"/>
      <c r="D129" s="27"/>
      <c r="E129" s="12"/>
      <c r="F129">
        <v>0</v>
      </c>
      <c r="G129">
        <v>2</v>
      </c>
      <c r="H129">
        <v>2</v>
      </c>
      <c r="I129" s="9">
        <v>0</v>
      </c>
      <c r="J129">
        <v>0</v>
      </c>
      <c r="K129">
        <v>0</v>
      </c>
      <c r="L129" s="8">
        <v>3</v>
      </c>
      <c r="M129">
        <v>2</v>
      </c>
      <c r="N129" s="9">
        <v>2</v>
      </c>
      <c r="O129" s="9" t="s">
        <v>27</v>
      </c>
    </row>
    <row r="130" spans="1:15">
      <c r="A130" s="11" t="s">
        <v>101</v>
      </c>
      <c r="B130" s="11"/>
      <c r="C130" s="27"/>
      <c r="D130" s="27"/>
      <c r="E130" s="12"/>
      <c r="F130" s="6">
        <v>2</v>
      </c>
      <c r="G130" s="15">
        <v>3</v>
      </c>
      <c r="H130" s="6">
        <v>2</v>
      </c>
      <c r="I130" s="7">
        <v>0</v>
      </c>
      <c r="J130">
        <v>0</v>
      </c>
      <c r="K130">
        <v>2</v>
      </c>
      <c r="L130">
        <v>0</v>
      </c>
      <c r="M130" s="8">
        <v>3</v>
      </c>
      <c r="N130" s="9">
        <v>0</v>
      </c>
      <c r="O130" s="9" t="s">
        <v>36</v>
      </c>
    </row>
    <row r="131" spans="1:15">
      <c r="A131" s="11" t="s">
        <v>102</v>
      </c>
      <c r="B131" s="11"/>
      <c r="C131" s="27"/>
      <c r="D131" s="27"/>
      <c r="E131" s="12"/>
      <c r="F131" s="6">
        <v>0</v>
      </c>
      <c r="G131" s="6">
        <v>1</v>
      </c>
      <c r="H131" s="6">
        <v>3</v>
      </c>
      <c r="I131" s="19">
        <v>4</v>
      </c>
      <c r="J131">
        <v>1</v>
      </c>
      <c r="K131" s="8">
        <v>4</v>
      </c>
      <c r="L131">
        <v>1</v>
      </c>
      <c r="M131">
        <v>0</v>
      </c>
      <c r="N131" s="9">
        <v>0</v>
      </c>
      <c r="O131" s="9" t="s">
        <v>36</v>
      </c>
    </row>
    <row r="132" spans="1:15">
      <c r="A132" s="11" t="s">
        <v>103</v>
      </c>
      <c r="B132" s="11"/>
      <c r="C132" s="27"/>
      <c r="D132" s="27"/>
      <c r="E132" s="12"/>
      <c r="F132" s="6">
        <v>0</v>
      </c>
      <c r="G132" s="6">
        <v>1</v>
      </c>
      <c r="H132" s="6">
        <v>2</v>
      </c>
      <c r="I132" s="7">
        <v>2</v>
      </c>
      <c r="J132">
        <v>1</v>
      </c>
      <c r="K132" s="8">
        <v>4</v>
      </c>
      <c r="L132">
        <v>1</v>
      </c>
      <c r="M132">
        <v>1</v>
      </c>
      <c r="N132" s="9">
        <v>0</v>
      </c>
      <c r="O132" s="9" t="s">
        <v>36</v>
      </c>
    </row>
    <row r="133" spans="1:15">
      <c r="A133" s="11" t="s">
        <v>104</v>
      </c>
      <c r="B133" s="11"/>
      <c r="C133" s="27"/>
      <c r="D133" s="27"/>
      <c r="E133" s="12"/>
      <c r="F133" s="16">
        <v>0</v>
      </c>
      <c r="G133" s="23">
        <v>0</v>
      </c>
      <c r="H133" s="16">
        <v>3</v>
      </c>
      <c r="I133" s="24">
        <v>4</v>
      </c>
      <c r="J133">
        <v>2</v>
      </c>
      <c r="K133" s="8">
        <v>3</v>
      </c>
      <c r="L133">
        <v>0</v>
      </c>
      <c r="M133">
        <v>0</v>
      </c>
      <c r="N133" s="9">
        <v>0</v>
      </c>
      <c r="O133" s="9" t="s">
        <v>33</v>
      </c>
    </row>
    <row r="134" spans="1:15">
      <c r="A134" s="11" t="s">
        <v>105</v>
      </c>
      <c r="B134" s="11"/>
      <c r="C134" s="27"/>
      <c r="D134" s="27"/>
      <c r="E134" s="12"/>
      <c r="F134">
        <v>2</v>
      </c>
      <c r="G134">
        <v>2</v>
      </c>
      <c r="H134">
        <v>2</v>
      </c>
      <c r="I134" s="10">
        <v>4</v>
      </c>
      <c r="J134">
        <v>2</v>
      </c>
      <c r="K134" s="8">
        <v>3</v>
      </c>
      <c r="L134">
        <v>2</v>
      </c>
      <c r="M134">
        <v>2</v>
      </c>
      <c r="N134" s="9">
        <v>0</v>
      </c>
      <c r="O134" s="9" t="s">
        <v>27</v>
      </c>
    </row>
    <row r="135" spans="1:15">
      <c r="A135" s="13" t="s">
        <v>191</v>
      </c>
      <c r="B135" s="13"/>
      <c r="C135" s="27"/>
      <c r="D135" s="27"/>
      <c r="E135" s="12"/>
      <c r="F135">
        <v>2</v>
      </c>
      <c r="G135">
        <v>2</v>
      </c>
      <c r="H135">
        <v>2</v>
      </c>
      <c r="I135" s="10">
        <v>4</v>
      </c>
      <c r="J135">
        <v>2</v>
      </c>
      <c r="K135" s="8">
        <v>3</v>
      </c>
      <c r="L135">
        <v>2</v>
      </c>
      <c r="M135">
        <v>2</v>
      </c>
      <c r="N135" s="9">
        <v>0</v>
      </c>
    </row>
    <row r="136" spans="1:15">
      <c r="A136" s="11" t="s">
        <v>106</v>
      </c>
      <c r="B136" s="11"/>
      <c r="C136" s="27"/>
      <c r="D136" s="27"/>
      <c r="E136" s="12"/>
      <c r="F136">
        <v>1</v>
      </c>
      <c r="G136" s="8">
        <v>3</v>
      </c>
      <c r="H136">
        <v>2</v>
      </c>
      <c r="I136" s="9">
        <v>2</v>
      </c>
      <c r="J136">
        <v>2</v>
      </c>
      <c r="K136">
        <v>2</v>
      </c>
      <c r="L136">
        <v>2</v>
      </c>
      <c r="M136">
        <v>2</v>
      </c>
      <c r="N136" s="9">
        <v>0</v>
      </c>
      <c r="O136" s="9" t="s">
        <v>29</v>
      </c>
    </row>
    <row r="137" spans="1:15">
      <c r="A137" s="11" t="s">
        <v>192</v>
      </c>
      <c r="B137" s="11"/>
      <c r="C137" s="27"/>
      <c r="D137" s="27"/>
      <c r="E137" s="12"/>
      <c r="F137">
        <v>1</v>
      </c>
      <c r="G137">
        <v>1</v>
      </c>
      <c r="H137">
        <v>2</v>
      </c>
      <c r="I137" s="9">
        <v>2</v>
      </c>
    </row>
    <row r="138" spans="1:15">
      <c r="A138" s="11" t="s">
        <v>193</v>
      </c>
      <c r="B138" s="11"/>
      <c r="C138" s="27"/>
      <c r="D138" s="27"/>
      <c r="E138" s="12"/>
      <c r="F138">
        <v>2</v>
      </c>
      <c r="G138">
        <v>2</v>
      </c>
      <c r="H138" s="8">
        <v>4</v>
      </c>
      <c r="I138" s="9">
        <v>3</v>
      </c>
    </row>
    <row r="139" spans="1:15">
      <c r="A139" s="11" t="s">
        <v>194</v>
      </c>
      <c r="B139" s="11"/>
      <c r="C139" s="27"/>
      <c r="D139" s="27"/>
      <c r="E139" s="12"/>
      <c r="F139">
        <v>2</v>
      </c>
      <c r="G139">
        <v>2</v>
      </c>
      <c r="H139" s="8">
        <v>4</v>
      </c>
      <c r="I139" s="9">
        <v>3</v>
      </c>
    </row>
    <row r="140" spans="1:15">
      <c r="A140" s="13" t="s">
        <v>195</v>
      </c>
      <c r="B140" s="13"/>
      <c r="C140" s="27"/>
      <c r="D140" s="27"/>
      <c r="E140" s="12"/>
      <c r="F140">
        <v>2</v>
      </c>
      <c r="G140">
        <v>2</v>
      </c>
      <c r="H140" s="8">
        <v>4</v>
      </c>
      <c r="I140" s="9">
        <v>3</v>
      </c>
    </row>
    <row r="141" spans="1:15">
      <c r="A141" s="11" t="s">
        <v>196</v>
      </c>
      <c r="B141" s="11"/>
      <c r="C141" s="27"/>
      <c r="D141" s="27"/>
      <c r="E141" s="12"/>
      <c r="F141">
        <v>2</v>
      </c>
      <c r="G141" s="8">
        <v>3</v>
      </c>
      <c r="H141">
        <v>2</v>
      </c>
      <c r="I141" s="9">
        <v>2</v>
      </c>
    </row>
    <row r="142" spans="1:15">
      <c r="A142" s="13" t="s">
        <v>197</v>
      </c>
      <c r="B142" s="13"/>
      <c r="C142" s="27"/>
      <c r="D142" s="27"/>
      <c r="E142" s="12"/>
      <c r="F142">
        <v>1</v>
      </c>
      <c r="G142" s="8">
        <v>4</v>
      </c>
      <c r="H142">
        <v>1</v>
      </c>
      <c r="I142" s="9">
        <v>0</v>
      </c>
    </row>
    <row r="143" spans="1:15">
      <c r="A143" s="11" t="s">
        <v>107</v>
      </c>
      <c r="B143" s="11"/>
      <c r="C143" s="27"/>
      <c r="D143" s="27"/>
      <c r="E143" s="12"/>
      <c r="F143" s="15">
        <v>3</v>
      </c>
      <c r="G143" s="6">
        <v>1</v>
      </c>
      <c r="H143" s="6">
        <v>0</v>
      </c>
      <c r="I143" s="7">
        <v>0</v>
      </c>
      <c r="J143">
        <v>0</v>
      </c>
      <c r="K143">
        <v>0</v>
      </c>
      <c r="L143">
        <v>0</v>
      </c>
      <c r="M143">
        <v>0</v>
      </c>
      <c r="N143" s="10">
        <v>5</v>
      </c>
      <c r="O143" s="9" t="s">
        <v>29</v>
      </c>
    </row>
    <row r="144" spans="1:15">
      <c r="A144" s="11" t="s">
        <v>108</v>
      </c>
      <c r="B144" s="11"/>
      <c r="C144" s="27"/>
      <c r="D144" s="27"/>
      <c r="E144" s="12"/>
      <c r="F144" s="15">
        <v>3</v>
      </c>
      <c r="G144" s="6">
        <v>2</v>
      </c>
      <c r="H144" s="6">
        <v>2</v>
      </c>
      <c r="I144" s="7">
        <v>0</v>
      </c>
      <c r="J144">
        <v>0</v>
      </c>
      <c r="K144">
        <v>0</v>
      </c>
      <c r="L144">
        <v>0</v>
      </c>
      <c r="M144">
        <v>0</v>
      </c>
      <c r="N144" s="10">
        <v>5</v>
      </c>
      <c r="O144" s="9" t="s">
        <v>36</v>
      </c>
    </row>
    <row r="145" spans="1:15">
      <c r="A145" s="11" t="s">
        <v>109</v>
      </c>
      <c r="B145" s="11"/>
      <c r="C145" s="27"/>
      <c r="D145" s="27"/>
      <c r="E145" s="12"/>
      <c r="F145">
        <v>0</v>
      </c>
      <c r="G145">
        <v>0</v>
      </c>
      <c r="H145" s="21">
        <v>2</v>
      </c>
      <c r="I145" s="10">
        <v>4</v>
      </c>
      <c r="J145">
        <v>1</v>
      </c>
      <c r="K145" s="8">
        <v>4</v>
      </c>
      <c r="L145">
        <v>1</v>
      </c>
      <c r="M145">
        <v>1</v>
      </c>
      <c r="N145" s="9">
        <v>0</v>
      </c>
      <c r="O145" s="9" t="s">
        <v>27</v>
      </c>
    </row>
    <row r="146" spans="1:15">
      <c r="A146" s="11" t="s">
        <v>110</v>
      </c>
      <c r="B146" s="11"/>
      <c r="C146" s="27"/>
      <c r="D146" s="27"/>
      <c r="E146" s="12"/>
      <c r="F146" s="15">
        <v>4</v>
      </c>
      <c r="G146" s="6">
        <v>1</v>
      </c>
      <c r="H146" s="20">
        <v>0</v>
      </c>
      <c r="I146" s="26">
        <v>0</v>
      </c>
      <c r="J146">
        <v>0</v>
      </c>
      <c r="K146" s="21">
        <v>1</v>
      </c>
      <c r="L146">
        <v>1</v>
      </c>
      <c r="M146" s="8">
        <v>4</v>
      </c>
      <c r="N146" s="9">
        <v>1</v>
      </c>
      <c r="O146" s="9" t="s">
        <v>29</v>
      </c>
    </row>
    <row r="147" spans="1:15">
      <c r="A147" s="11" t="s">
        <v>111</v>
      </c>
      <c r="B147" s="11"/>
      <c r="C147" s="27"/>
      <c r="D147" s="27"/>
      <c r="E147" s="12"/>
      <c r="F147">
        <v>2</v>
      </c>
      <c r="G147">
        <v>2</v>
      </c>
      <c r="H147">
        <v>2</v>
      </c>
      <c r="I147" s="10">
        <v>4</v>
      </c>
      <c r="J147">
        <v>1</v>
      </c>
      <c r="K147">
        <v>1</v>
      </c>
      <c r="L147">
        <v>1</v>
      </c>
      <c r="M147">
        <v>1</v>
      </c>
      <c r="N147" s="10">
        <v>4</v>
      </c>
      <c r="O147" s="9" t="s">
        <v>29</v>
      </c>
    </row>
    <row r="148" spans="1:15">
      <c r="A148" s="11" t="s">
        <v>112</v>
      </c>
      <c r="B148" s="11"/>
      <c r="C148" s="27"/>
      <c r="D148" s="27"/>
      <c r="E148" s="12"/>
      <c r="F148" s="15">
        <v>3</v>
      </c>
      <c r="G148" s="6">
        <v>1</v>
      </c>
      <c r="H148" s="6">
        <v>0</v>
      </c>
      <c r="I148" s="7">
        <v>0</v>
      </c>
      <c r="J148">
        <v>1</v>
      </c>
      <c r="K148">
        <v>1</v>
      </c>
      <c r="L148">
        <v>1</v>
      </c>
      <c r="M148">
        <v>2</v>
      </c>
      <c r="N148" s="10">
        <v>3</v>
      </c>
      <c r="O148" s="9" t="s">
        <v>29</v>
      </c>
    </row>
    <row r="149" spans="1:15">
      <c r="A149" s="11" t="s">
        <v>113</v>
      </c>
      <c r="B149" s="11"/>
      <c r="C149" s="27"/>
      <c r="D149" s="27"/>
      <c r="E149" s="12"/>
      <c r="F149">
        <v>0</v>
      </c>
      <c r="G149">
        <v>2</v>
      </c>
      <c r="H149">
        <v>2</v>
      </c>
      <c r="I149" s="10">
        <v>4</v>
      </c>
      <c r="J149">
        <v>2</v>
      </c>
      <c r="K149" s="8">
        <v>3</v>
      </c>
      <c r="L149">
        <v>2</v>
      </c>
      <c r="M149">
        <v>0</v>
      </c>
      <c r="N149" s="9">
        <v>0</v>
      </c>
      <c r="O149" s="9" t="s">
        <v>27</v>
      </c>
    </row>
    <row r="150" spans="1:15">
      <c r="A150" s="13" t="s">
        <v>228</v>
      </c>
      <c r="B150" s="13"/>
      <c r="C150" s="27"/>
      <c r="D150" s="27"/>
      <c r="E150" s="12"/>
      <c r="F150" s="16">
        <v>0</v>
      </c>
      <c r="G150" s="16">
        <v>2</v>
      </c>
      <c r="H150" s="16">
        <v>2</v>
      </c>
      <c r="I150" s="24">
        <v>4</v>
      </c>
      <c r="K150" s="21"/>
    </row>
    <row r="151" spans="1:15">
      <c r="A151" s="13" t="s">
        <v>229</v>
      </c>
      <c r="B151" s="13"/>
      <c r="C151" s="27"/>
      <c r="D151" s="27"/>
      <c r="E151" s="12"/>
      <c r="F151" s="16">
        <v>0</v>
      </c>
      <c r="G151" s="16">
        <v>2</v>
      </c>
      <c r="H151" s="16">
        <v>2</v>
      </c>
      <c r="I151" s="24">
        <v>4</v>
      </c>
      <c r="K151" s="21"/>
    </row>
    <row r="152" spans="1:15">
      <c r="A152" s="13" t="s">
        <v>230</v>
      </c>
      <c r="B152" s="13"/>
      <c r="C152" s="27"/>
      <c r="D152" s="27"/>
      <c r="E152" s="12"/>
      <c r="F152" s="16">
        <v>0</v>
      </c>
      <c r="G152" s="17">
        <v>4</v>
      </c>
      <c r="H152" s="16">
        <v>2</v>
      </c>
      <c r="I152" s="18">
        <v>1</v>
      </c>
      <c r="K152" s="21"/>
    </row>
    <row r="153" spans="1:15">
      <c r="A153" s="13" t="s">
        <v>231</v>
      </c>
      <c r="B153" s="13"/>
      <c r="C153" s="27"/>
      <c r="D153" s="27"/>
      <c r="E153" s="12"/>
      <c r="F153" s="16">
        <v>0</v>
      </c>
      <c r="G153" s="16">
        <v>1</v>
      </c>
      <c r="H153" s="16">
        <v>2</v>
      </c>
      <c r="I153" s="24">
        <v>4</v>
      </c>
      <c r="K153" s="21"/>
    </row>
    <row r="154" spans="1:15">
      <c r="A154" s="13" t="s">
        <v>232</v>
      </c>
      <c r="B154" s="13"/>
      <c r="C154" s="27"/>
      <c r="D154" s="27"/>
      <c r="E154" s="12"/>
      <c r="F154" s="16">
        <v>0</v>
      </c>
      <c r="G154" s="16">
        <v>0</v>
      </c>
      <c r="H154" s="16">
        <v>2</v>
      </c>
      <c r="I154" s="24">
        <v>4</v>
      </c>
      <c r="K154" s="21"/>
    </row>
    <row r="155" spans="1:15">
      <c r="A155" s="13" t="s">
        <v>233</v>
      </c>
      <c r="B155" s="13"/>
      <c r="C155" s="27"/>
      <c r="D155" s="27"/>
      <c r="E155" s="12"/>
      <c r="F155" s="16">
        <v>0</v>
      </c>
      <c r="G155" s="16">
        <v>0</v>
      </c>
      <c r="H155" s="16">
        <v>0</v>
      </c>
      <c r="I155" s="24">
        <v>5</v>
      </c>
      <c r="K155" s="21"/>
    </row>
    <row r="156" spans="1:15">
      <c r="A156" s="13" t="s">
        <v>234</v>
      </c>
      <c r="B156" s="13"/>
      <c r="C156" s="27"/>
      <c r="D156" s="27"/>
      <c r="E156" s="12"/>
      <c r="F156" s="16">
        <v>0</v>
      </c>
      <c r="G156" s="16">
        <v>0</v>
      </c>
      <c r="H156" s="16">
        <v>0</v>
      </c>
      <c r="I156" s="24">
        <v>5</v>
      </c>
      <c r="K156" s="21"/>
    </row>
    <row r="157" spans="1:15">
      <c r="A157" s="11" t="s">
        <v>114</v>
      </c>
      <c r="B157" s="11"/>
      <c r="C157" s="27"/>
      <c r="D157" s="27"/>
      <c r="E157" s="12"/>
      <c r="F157" s="15">
        <v>4</v>
      </c>
      <c r="G157" s="20">
        <v>1</v>
      </c>
      <c r="H157" s="6">
        <v>0</v>
      </c>
      <c r="I157" s="7">
        <v>0</v>
      </c>
      <c r="J157">
        <v>0</v>
      </c>
      <c r="K157">
        <v>0</v>
      </c>
      <c r="L157">
        <v>0</v>
      </c>
      <c r="M157" s="8">
        <v>4</v>
      </c>
      <c r="N157" s="9">
        <v>0</v>
      </c>
      <c r="O157" s="9" t="s">
        <v>29</v>
      </c>
    </row>
    <row r="158" spans="1:15">
      <c r="A158" s="11" t="s">
        <v>115</v>
      </c>
      <c r="B158" s="11"/>
      <c r="C158" s="27"/>
      <c r="D158" s="27"/>
      <c r="E158" s="12"/>
      <c r="F158" s="6">
        <v>2</v>
      </c>
      <c r="G158" s="15">
        <v>3</v>
      </c>
      <c r="H158" s="6">
        <v>1</v>
      </c>
      <c r="I158" s="7">
        <v>0</v>
      </c>
      <c r="J158">
        <v>0</v>
      </c>
      <c r="K158">
        <v>2</v>
      </c>
      <c r="L158">
        <v>0</v>
      </c>
      <c r="M158" s="8">
        <v>3</v>
      </c>
      <c r="N158" s="9">
        <v>0</v>
      </c>
      <c r="O158" s="9" t="s">
        <v>27</v>
      </c>
    </row>
    <row r="159" spans="1:15">
      <c r="A159" s="11" t="s">
        <v>116</v>
      </c>
      <c r="B159" s="11"/>
      <c r="C159" s="27"/>
      <c r="D159" s="27"/>
      <c r="E159" s="12"/>
      <c r="F159">
        <v>3</v>
      </c>
      <c r="G159" s="8">
        <v>4</v>
      </c>
      <c r="H159">
        <v>1</v>
      </c>
      <c r="I159" s="9">
        <v>1</v>
      </c>
      <c r="J159">
        <v>1</v>
      </c>
      <c r="K159">
        <v>2</v>
      </c>
      <c r="L159">
        <v>0</v>
      </c>
      <c r="M159" s="8">
        <v>3</v>
      </c>
      <c r="N159" s="9">
        <v>0</v>
      </c>
      <c r="O159" s="9" t="s">
        <v>27</v>
      </c>
    </row>
    <row r="160" spans="1:15">
      <c r="A160" s="11" t="s">
        <v>117</v>
      </c>
      <c r="B160" s="11"/>
      <c r="C160" s="27"/>
      <c r="D160" s="27"/>
      <c r="E160" s="12"/>
      <c r="F160">
        <v>1</v>
      </c>
      <c r="G160">
        <v>2</v>
      </c>
      <c r="H160">
        <v>2</v>
      </c>
      <c r="I160" s="9">
        <v>1</v>
      </c>
      <c r="J160" s="8">
        <v>3</v>
      </c>
      <c r="K160">
        <v>2</v>
      </c>
      <c r="L160">
        <v>1</v>
      </c>
      <c r="M160">
        <v>0</v>
      </c>
      <c r="N160" s="9">
        <v>0</v>
      </c>
      <c r="O160" s="9" t="s">
        <v>27</v>
      </c>
    </row>
    <row r="161" spans="1:15">
      <c r="A161" s="13" t="s">
        <v>168</v>
      </c>
      <c r="B161" s="13"/>
      <c r="C161" s="27"/>
      <c r="D161" s="27"/>
      <c r="E161" s="12"/>
      <c r="F161">
        <v>1</v>
      </c>
      <c r="G161">
        <v>2</v>
      </c>
      <c r="H161">
        <v>2</v>
      </c>
      <c r="I161" s="9">
        <v>1</v>
      </c>
      <c r="J161" s="8">
        <v>3</v>
      </c>
      <c r="K161">
        <v>2</v>
      </c>
      <c r="L161">
        <v>1</v>
      </c>
      <c r="M161">
        <v>0</v>
      </c>
      <c r="N161" s="9">
        <v>0</v>
      </c>
    </row>
    <row r="162" spans="1:15">
      <c r="A162" s="11" t="s">
        <v>287</v>
      </c>
      <c r="B162" s="11"/>
      <c r="C162" s="27"/>
      <c r="D162" s="27"/>
      <c r="E162" s="12"/>
      <c r="F162" s="15">
        <v>3</v>
      </c>
      <c r="G162" s="20">
        <v>2</v>
      </c>
      <c r="H162" s="6">
        <v>0</v>
      </c>
      <c r="I162" s="26">
        <v>0</v>
      </c>
      <c r="J162">
        <v>2</v>
      </c>
      <c r="K162">
        <v>2</v>
      </c>
      <c r="L162" s="8">
        <v>3</v>
      </c>
      <c r="M162">
        <v>0</v>
      </c>
      <c r="N162" s="9">
        <v>0</v>
      </c>
      <c r="O162" s="9" t="s">
        <v>29</v>
      </c>
    </row>
    <row r="163" spans="1:15">
      <c r="A163" s="11" t="s">
        <v>119</v>
      </c>
      <c r="B163" s="11"/>
      <c r="C163" s="27"/>
      <c r="D163" s="27"/>
      <c r="E163" s="12"/>
      <c r="F163" s="8">
        <v>3</v>
      </c>
      <c r="G163">
        <v>2</v>
      </c>
      <c r="H163">
        <v>0</v>
      </c>
      <c r="I163" s="9">
        <v>0</v>
      </c>
      <c r="J163">
        <v>1</v>
      </c>
      <c r="K163">
        <v>2</v>
      </c>
      <c r="L163" s="8">
        <v>3</v>
      </c>
      <c r="M163">
        <v>0</v>
      </c>
      <c r="N163" s="9">
        <v>0</v>
      </c>
      <c r="O163" s="9" t="s">
        <v>29</v>
      </c>
    </row>
    <row r="164" spans="1:15">
      <c r="A164" s="11" t="s">
        <v>120</v>
      </c>
      <c r="B164" s="11"/>
      <c r="C164" s="27"/>
      <c r="D164" s="27"/>
      <c r="E164" s="12"/>
      <c r="F164" s="15">
        <v>3</v>
      </c>
      <c r="G164" s="6">
        <v>2</v>
      </c>
      <c r="H164" s="6">
        <v>0</v>
      </c>
      <c r="I164" s="7">
        <v>0</v>
      </c>
      <c r="J164">
        <v>2</v>
      </c>
      <c r="K164">
        <v>2</v>
      </c>
      <c r="L164" s="8">
        <v>3</v>
      </c>
      <c r="M164">
        <v>0</v>
      </c>
      <c r="N164" s="9">
        <v>0</v>
      </c>
      <c r="O164" s="9" t="s">
        <v>29</v>
      </c>
    </row>
    <row r="165" spans="1:15">
      <c r="A165" s="11" t="s">
        <v>121</v>
      </c>
      <c r="B165" s="11"/>
      <c r="C165" s="27"/>
      <c r="D165" s="27"/>
      <c r="E165" s="12"/>
      <c r="F165" s="15">
        <v>3</v>
      </c>
      <c r="G165" s="6">
        <v>2</v>
      </c>
      <c r="H165" s="6">
        <v>0</v>
      </c>
      <c r="I165" s="7">
        <v>0</v>
      </c>
      <c r="J165">
        <v>1</v>
      </c>
      <c r="K165">
        <v>2</v>
      </c>
      <c r="L165" s="8">
        <v>3</v>
      </c>
      <c r="M165">
        <v>0</v>
      </c>
      <c r="N165" s="9">
        <v>0</v>
      </c>
      <c r="O165" s="9" t="s">
        <v>29</v>
      </c>
    </row>
    <row r="166" spans="1:15">
      <c r="A166" s="11" t="s">
        <v>122</v>
      </c>
      <c r="B166" s="11"/>
      <c r="C166" s="27"/>
      <c r="D166" s="27"/>
      <c r="E166" s="12"/>
      <c r="F166" s="15">
        <v>3</v>
      </c>
      <c r="G166" s="6">
        <v>2</v>
      </c>
      <c r="H166" s="6">
        <v>0</v>
      </c>
      <c r="I166" s="7">
        <v>0</v>
      </c>
      <c r="J166">
        <v>2</v>
      </c>
      <c r="K166">
        <v>2</v>
      </c>
      <c r="L166" s="8">
        <v>3</v>
      </c>
      <c r="M166">
        <v>0</v>
      </c>
      <c r="N166" s="9">
        <v>0</v>
      </c>
      <c r="O166" s="9" t="s">
        <v>29</v>
      </c>
    </row>
    <row r="167" spans="1:15">
      <c r="A167" s="11" t="s">
        <v>123</v>
      </c>
      <c r="B167" s="11"/>
      <c r="C167" s="27"/>
      <c r="D167" s="27"/>
      <c r="E167" s="12"/>
      <c r="F167" s="15">
        <v>3</v>
      </c>
      <c r="G167" s="6">
        <v>2</v>
      </c>
      <c r="H167" s="6">
        <v>0</v>
      </c>
      <c r="I167" s="7">
        <v>0</v>
      </c>
      <c r="J167">
        <v>1</v>
      </c>
      <c r="K167">
        <v>2</v>
      </c>
      <c r="L167" s="8">
        <v>3</v>
      </c>
      <c r="M167">
        <v>0</v>
      </c>
      <c r="N167" s="9">
        <v>0</v>
      </c>
      <c r="O167" s="9" t="s">
        <v>29</v>
      </c>
    </row>
    <row r="168" spans="1:15">
      <c r="A168" s="11" t="s">
        <v>124</v>
      </c>
      <c r="B168" s="11"/>
      <c r="C168" s="27"/>
      <c r="D168" s="27"/>
      <c r="E168" s="12"/>
      <c r="F168" s="15">
        <v>3</v>
      </c>
      <c r="G168" s="6">
        <v>2</v>
      </c>
      <c r="H168" s="6">
        <v>0</v>
      </c>
      <c r="I168" s="19">
        <v>0</v>
      </c>
      <c r="J168">
        <v>1</v>
      </c>
      <c r="K168">
        <v>2</v>
      </c>
      <c r="L168" s="8">
        <v>3</v>
      </c>
      <c r="M168">
        <v>0</v>
      </c>
      <c r="N168" s="9">
        <v>0</v>
      </c>
      <c r="O168" s="9" t="s">
        <v>27</v>
      </c>
    </row>
    <row r="169" spans="1:15">
      <c r="A169" s="11" t="s">
        <v>125</v>
      </c>
      <c r="B169" s="11"/>
      <c r="C169" s="27"/>
      <c r="D169" s="27"/>
      <c r="E169" s="12"/>
      <c r="F169" s="6">
        <v>2</v>
      </c>
      <c r="G169" s="15">
        <v>3</v>
      </c>
      <c r="H169" s="6">
        <v>1</v>
      </c>
      <c r="I169" s="7">
        <v>0</v>
      </c>
      <c r="J169">
        <v>0</v>
      </c>
      <c r="K169">
        <v>2</v>
      </c>
      <c r="L169">
        <v>0</v>
      </c>
      <c r="M169" s="8">
        <v>4</v>
      </c>
      <c r="N169" s="9">
        <v>0</v>
      </c>
      <c r="O169" s="9" t="s">
        <v>27</v>
      </c>
    </row>
    <row r="170" spans="1:15">
      <c r="A170" s="11" t="s">
        <v>126</v>
      </c>
      <c r="B170" s="11"/>
      <c r="C170" s="27"/>
      <c r="D170" s="27"/>
      <c r="E170" s="12"/>
      <c r="F170" s="6">
        <v>2</v>
      </c>
      <c r="G170" s="15">
        <v>3</v>
      </c>
      <c r="H170" s="6">
        <v>1</v>
      </c>
      <c r="I170" s="7">
        <v>0</v>
      </c>
      <c r="J170">
        <v>0</v>
      </c>
      <c r="K170">
        <v>2</v>
      </c>
      <c r="L170">
        <v>0</v>
      </c>
      <c r="M170" s="8">
        <v>4</v>
      </c>
      <c r="N170" s="9">
        <v>0</v>
      </c>
      <c r="O170" s="9" t="s">
        <v>29</v>
      </c>
    </row>
    <row r="171" spans="1:15">
      <c r="A171" s="11" t="s">
        <v>127</v>
      </c>
      <c r="B171" s="11"/>
      <c r="C171" s="27"/>
      <c r="D171" s="27"/>
      <c r="E171" s="12"/>
      <c r="F171" s="6">
        <v>2</v>
      </c>
      <c r="G171" s="15">
        <v>3</v>
      </c>
      <c r="H171" s="6">
        <v>1</v>
      </c>
      <c r="I171" s="19">
        <v>1</v>
      </c>
      <c r="J171">
        <v>0</v>
      </c>
      <c r="K171">
        <v>1</v>
      </c>
      <c r="L171">
        <v>0</v>
      </c>
      <c r="M171" s="8">
        <v>4</v>
      </c>
      <c r="N171" s="9">
        <v>0</v>
      </c>
      <c r="O171" s="9" t="s">
        <v>27</v>
      </c>
    </row>
    <row r="172" spans="1:15">
      <c r="A172" s="30" t="s">
        <v>10</v>
      </c>
    </row>
    <row r="173" spans="1:15">
      <c r="A173" s="30" t="s">
        <v>139</v>
      </c>
    </row>
    <row r="174" spans="1:15">
      <c r="A174" s="30" t="s">
        <v>11</v>
      </c>
    </row>
    <row r="175" spans="1:15">
      <c r="A175" s="30" t="s">
        <v>140</v>
      </c>
    </row>
    <row r="176" spans="1:15">
      <c r="A176" s="30" t="s">
        <v>141</v>
      </c>
    </row>
    <row r="181" spans="1:5">
      <c r="A181" s="13"/>
      <c r="B181" s="13"/>
      <c r="C181" s="65"/>
      <c r="D181" s="65"/>
      <c r="E181" s="14"/>
    </row>
    <row r="182" spans="1:5">
      <c r="A182" s="13"/>
      <c r="B182" s="13"/>
      <c r="C182" s="65"/>
      <c r="D182" s="65"/>
      <c r="E182" s="14"/>
    </row>
    <row r="183" spans="1:5">
      <c r="A183" s="13"/>
      <c r="B183" s="13"/>
      <c r="C183" s="65"/>
      <c r="D183" s="65"/>
      <c r="E183" s="14"/>
    </row>
    <row r="184" spans="1:5">
      <c r="A184" s="13"/>
      <c r="B184" s="13"/>
      <c r="C184" s="65"/>
      <c r="D184" s="65"/>
      <c r="E184" s="14"/>
    </row>
    <row r="185" spans="1:5">
      <c r="A185" s="13"/>
      <c r="B185" s="13"/>
      <c r="C185" s="65"/>
      <c r="D185" s="65"/>
      <c r="E185" s="14"/>
    </row>
    <row r="186" spans="1:5">
      <c r="A186" s="13"/>
      <c r="B186" s="13"/>
      <c r="C186" s="65"/>
      <c r="D186" s="65"/>
      <c r="E186" s="14"/>
    </row>
    <row r="187" spans="1:5">
      <c r="A187" s="13"/>
      <c r="B187" s="13"/>
      <c r="C187" s="65"/>
      <c r="D187" s="65"/>
      <c r="E187" s="14"/>
    </row>
    <row r="188" spans="1:5">
      <c r="A188" s="13"/>
      <c r="B188" s="13"/>
      <c r="C188" s="65"/>
      <c r="D188" s="65"/>
      <c r="E188" s="14"/>
    </row>
    <row r="189" spans="1:5">
      <c r="A189" s="13"/>
      <c r="B189" s="13"/>
      <c r="C189" s="65"/>
      <c r="D189" s="65"/>
      <c r="E189" s="14"/>
    </row>
    <row r="190" spans="1:5">
      <c r="A190" s="13"/>
      <c r="B190" s="13"/>
      <c r="C190" s="65"/>
      <c r="D190" s="65"/>
      <c r="E190" s="14"/>
    </row>
    <row r="191" spans="1:5">
      <c r="A191" s="13"/>
      <c r="B191" s="13"/>
      <c r="C191" s="65"/>
      <c r="D191" s="65"/>
      <c r="E191" s="14"/>
    </row>
    <row r="192" spans="1:5">
      <c r="A192" s="13"/>
      <c r="B192" s="13"/>
      <c r="C192" s="65"/>
      <c r="D192" s="65"/>
      <c r="E192" s="14"/>
    </row>
  </sheetData>
  <phoneticPr fontId="0" type="noConversion"/>
  <pageMargins left="0.75" right="0.75" top="1" bottom="1" header="0.5" footer="0.5"/>
  <pageSetup paperSize="9" orientation="portrait" verticalDpi="0" r:id="rId1"/>
  <headerFooter alignWithMargins="0"/>
  <customProperties>
    <customPr name="DVSECTIONID" r:id="rId2"/>
  </customProperties>
  <legacyDrawing r:id="rId3"/>
</worksheet>
</file>

<file path=xl/worksheets/sheet9.xml><?xml version="1.0" encoding="utf-8"?>
<worksheet xmlns="http://schemas.openxmlformats.org/spreadsheetml/2006/main" xmlns:r="http://schemas.openxmlformats.org/officeDocument/2006/relationships">
  <sheetPr codeName="Sheet9"/>
  <dimension ref="A1:F1"/>
  <sheetViews>
    <sheetView topLeftCell="A69" workbookViewId="0">
      <selection activeCell="A69" sqref="A1:XFD1048576"/>
    </sheetView>
  </sheetViews>
  <sheetFormatPr defaultColWidth="9.109375" defaultRowHeight="13.2"/>
  <cols>
    <col min="1" max="6" width="9.109375" style="212"/>
    <col min="7" max="16384" width="9.109375" style="213"/>
  </cols>
  <sheetData/>
  <sortState ref="A9:AA105">
    <sortCondition descending="1" ref="Q7:Q105"/>
    <sortCondition ref="I7:I105"/>
  </sortState>
  <pageMargins left="0.7" right="0.7" top="0.75" bottom="0.75" header="0.3" footer="0.3"/>
  <customProperties>
    <customPr name="DVSECTION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flowmod</vt:lpstr>
      <vt:lpstr>habitat</vt:lpstr>
      <vt:lpstr>wq</vt:lpstr>
      <vt:lpstr>Con &amp; Seas</vt:lpstr>
      <vt:lpstr>EC</vt:lpstr>
      <vt:lpstr>hydraul</vt:lpstr>
      <vt:lpstr>Data</vt:lpstr>
      <vt:lpstr>Species Data</vt:lpstr>
      <vt:lpstr>DATASORT</vt:lpstr>
      <vt:lpstr>Data!Print_Area</vt:lpstr>
    </vt:vector>
  </TitlesOfParts>
  <Company>DWAF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DWAF</dc:creator>
  <cp:lastModifiedBy>Thirion Christa (RQS)</cp:lastModifiedBy>
  <cp:lastPrinted>2007-01-11T08:27:32Z</cp:lastPrinted>
  <dcterms:created xsi:type="dcterms:W3CDTF">2003-12-03T08:22:36Z</dcterms:created>
  <dcterms:modified xsi:type="dcterms:W3CDTF">2013-05-13T11:03:37Z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1mXBvL0xd4vCgbwpLRb6au8LDmJMCld2vY--WHnP1E5M</vt:lpwstr>
  </property>
  <property fmtid="{D5CDD505-2E9C-101B-9397-08002B2CF9AE}" pid="4" name="Google.Documents.RevisionId">
    <vt:lpwstr>09220340003959760599</vt:lpwstr>
  </property>
  <property fmtid="{D5CDD505-2E9C-101B-9397-08002B2CF9AE}" pid="5" name="Google.Documents.PluginVersion">
    <vt:lpwstr>2.0.2662.553</vt:lpwstr>
  </property>
  <property fmtid="{D5CDD505-2E9C-101B-9397-08002B2CF9AE}" pid="6" name="Google.Documents.MergeIncapabilityFlags">
    <vt:i4>0</vt:i4>
  </property>
</Properties>
</file>