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MG Data" sheetId="1" r:id="rId1"/>
    <sheet name="Impacts" sheetId="2" r:id="rId2"/>
    <sheet name="Instream MG" sheetId="3" state="hidden" r:id="rId3"/>
    <sheet name="Riparian MG" sheetId="4" state="hidden" r:id="rId4"/>
    <sheet name="INS MOD RATINGS " sheetId="5" r:id="rId5"/>
    <sheet name="RIP MOD RATINGS" sheetId="6" r:id="rId6"/>
  </sheets>
  <definedNames>
    <definedName name="_xlnm.Print_Area" localSheetId="1">'Impacts'!$A$45:$N$89</definedName>
  </definedNames>
  <calcPr fullCalcOnLoad="1"/>
</workbook>
</file>

<file path=xl/sharedStrings.xml><?xml version="1.0" encoding="utf-8"?>
<sst xmlns="http://schemas.openxmlformats.org/spreadsheetml/2006/main" count="307" uniqueCount="190">
  <si>
    <t>Hydrology</t>
  </si>
  <si>
    <t>Water abstraction</t>
  </si>
  <si>
    <t>Other water inlet</t>
  </si>
  <si>
    <t>Roads &amp; crossings</t>
  </si>
  <si>
    <t>Instream vegetation</t>
  </si>
  <si>
    <t>Alien vegetation</t>
  </si>
  <si>
    <t>Alien trees</t>
  </si>
  <si>
    <t>Alien shrubs</t>
  </si>
  <si>
    <t>Grazing</t>
  </si>
  <si>
    <t>Number of sectors:</t>
  </si>
  <si>
    <t>River:</t>
  </si>
  <si>
    <t>Reach:</t>
  </si>
  <si>
    <t>Abstraction</t>
  </si>
  <si>
    <t>Interbasin transfers</t>
  </si>
  <si>
    <t xml:space="preserve">Forestry </t>
  </si>
  <si>
    <t>Roads</t>
  </si>
  <si>
    <t>Invasive riparian vegetation</t>
  </si>
  <si>
    <t>Riparian vegetation removal</t>
  </si>
  <si>
    <t>Guidance rating</t>
  </si>
  <si>
    <t>Solid waste disposal</t>
  </si>
  <si>
    <t>Hydrology MG</t>
  </si>
  <si>
    <t>Physico-chemical MG</t>
  </si>
  <si>
    <t>Inundation: Weirs</t>
  </si>
  <si>
    <t>Inundation: Dams</t>
  </si>
  <si>
    <t>Forestry</t>
  </si>
  <si>
    <t>Bed modification MG</t>
  </si>
  <si>
    <t>Vegetation removal</t>
  </si>
  <si>
    <t>Instream modification</t>
  </si>
  <si>
    <t>Bank modification MG</t>
  </si>
  <si>
    <t>Erosion</t>
  </si>
  <si>
    <t>Connectivity MG</t>
  </si>
  <si>
    <t>Dams</t>
  </si>
  <si>
    <t>Weirs</t>
  </si>
  <si>
    <t>Algae bloom</t>
  </si>
  <si>
    <t>Point-source pollution</t>
  </si>
  <si>
    <t>Colour change</t>
  </si>
  <si>
    <t>Alien water plants</t>
  </si>
  <si>
    <t>Mining</t>
  </si>
  <si>
    <t>Artificial covering</t>
  </si>
  <si>
    <t>Riparian zone</t>
  </si>
  <si>
    <t>Bank &amp; riparian zone</t>
  </si>
  <si>
    <t>Road - dirt</t>
  </si>
  <si>
    <t>Crossing or drift - low water</t>
  </si>
  <si>
    <t>Bank</t>
  </si>
  <si>
    <t>Bridge - high water</t>
  </si>
  <si>
    <t>Road - tar</t>
  </si>
  <si>
    <t>Dry land</t>
  </si>
  <si>
    <t>Mechanical bank modification</t>
  </si>
  <si>
    <t>Cultivation</t>
  </si>
  <si>
    <t>Outside riparian zone</t>
  </si>
  <si>
    <t>In riparian zone</t>
  </si>
  <si>
    <t>Runoff/effluent: Urban areas</t>
  </si>
  <si>
    <t>Runoff/effluent: Irrigation</t>
  </si>
  <si>
    <t>Runoff/effluent: Industries</t>
  </si>
  <si>
    <t>Runoff/effluent: Mining</t>
  </si>
  <si>
    <t>Invasive vegetation: instream &amp; riparian</t>
  </si>
  <si>
    <t xml:space="preserve">Riparian vegetation removal: </t>
  </si>
  <si>
    <t>Instream plants:</t>
  </si>
  <si>
    <t>Thermal pollution</t>
  </si>
  <si>
    <t xml:space="preserve">     Instream vegetation</t>
  </si>
  <si>
    <t xml:space="preserve">     Algae</t>
  </si>
  <si>
    <t xml:space="preserve">     Alien water plants</t>
  </si>
  <si>
    <t>Bed disturbance:</t>
  </si>
  <si>
    <t xml:space="preserve">     Mechanical bed modifications</t>
  </si>
  <si>
    <t xml:space="preserve">     Mining</t>
  </si>
  <si>
    <t>Bank disturbance:</t>
  </si>
  <si>
    <t xml:space="preserve">     Mechanical bank modifications</t>
  </si>
  <si>
    <t xml:space="preserve">     Artificial covering</t>
  </si>
  <si>
    <t>Mechanical modification &amp; disturbance:</t>
  </si>
  <si>
    <t>Sediment</t>
  </si>
  <si>
    <t>Benthic growth</t>
  </si>
  <si>
    <t>Erosion:</t>
  </si>
  <si>
    <t xml:space="preserve">     Catchment erosion</t>
  </si>
  <si>
    <t xml:space="preserve">     Bank erosion</t>
  </si>
  <si>
    <t xml:space="preserve">     Riparian zone erosion</t>
  </si>
  <si>
    <t xml:space="preserve">     Bank &amp; riparian zone erosion</t>
  </si>
  <si>
    <t>Nutrients:</t>
  </si>
  <si>
    <t>Roads &amp; crossings:</t>
  </si>
  <si>
    <t xml:space="preserve">     Crossings &amp; drifts</t>
  </si>
  <si>
    <t xml:space="preserve">     Dirt roads</t>
  </si>
  <si>
    <t xml:space="preserve">     Effluent: Irrigation</t>
  </si>
  <si>
    <t xml:space="preserve">     Return flow: Aquaculture</t>
  </si>
  <si>
    <t xml:space="preserve">     Point-source pollution: Feedlot</t>
  </si>
  <si>
    <t xml:space="preserve">     Point-source pollution: Sewage</t>
  </si>
  <si>
    <t>Increased instability (less stable):</t>
  </si>
  <si>
    <t xml:space="preserve">     Riparian vegetation removal</t>
  </si>
  <si>
    <t xml:space="preserve">     Cultivation (in riparian zone)</t>
  </si>
  <si>
    <t>Decreased instability (more stable):</t>
  </si>
  <si>
    <t xml:space="preserve">     Stabilizing works</t>
  </si>
  <si>
    <t>Mechanical modification and disturbance:</t>
  </si>
  <si>
    <t>Temperature:</t>
  </si>
  <si>
    <t>Instream vegetation:</t>
  </si>
  <si>
    <t>RIVER:</t>
  </si>
  <si>
    <t>REACH:</t>
  </si>
  <si>
    <t>SECTORS:</t>
  </si>
  <si>
    <t>Invasive alien vegetation</t>
  </si>
  <si>
    <t>Industries</t>
  </si>
  <si>
    <t>Channel Straightening</t>
  </si>
  <si>
    <t>Urbanization</t>
  </si>
  <si>
    <t>Off-channel dams</t>
  </si>
  <si>
    <t>Animal farming</t>
  </si>
  <si>
    <t>Dry land farming</t>
  </si>
  <si>
    <t>Irrigation</t>
  </si>
  <si>
    <t>Inter basin transfers</t>
  </si>
  <si>
    <t>Bed: sedimentation</t>
  </si>
  <si>
    <t>Bed: benthic growth</t>
  </si>
  <si>
    <t>Bed: scouring</t>
  </si>
  <si>
    <t>Bed: material disturbance/removal</t>
  </si>
  <si>
    <t>Introduced habitat modifying fauna</t>
  </si>
  <si>
    <t>Feedlot</t>
  </si>
  <si>
    <t>Runoff/effluent</t>
  </si>
  <si>
    <t>Urban area</t>
  </si>
  <si>
    <t>Trampling</t>
  </si>
  <si>
    <t>Wood</t>
  </si>
  <si>
    <t>Treated sewage return flow</t>
  </si>
  <si>
    <t>Inter basin transfer</t>
  </si>
  <si>
    <t>Mechanical bed modification</t>
  </si>
  <si>
    <t>Artificial bank covering</t>
  </si>
  <si>
    <t>Channel straightening</t>
  </si>
  <si>
    <t>Stabilizing works</t>
  </si>
  <si>
    <t>Alien other</t>
  </si>
  <si>
    <t>Logging</t>
  </si>
  <si>
    <t>Fallow land</t>
  </si>
  <si>
    <t>Other</t>
  </si>
  <si>
    <t>Sewage</t>
  </si>
  <si>
    <t>Catchment</t>
  </si>
  <si>
    <t>Return flow - aquaculture</t>
  </si>
  <si>
    <t>Dead fish</t>
  </si>
  <si>
    <t>Weir with fishladder</t>
  </si>
  <si>
    <t>Weir - no fishladder</t>
  </si>
  <si>
    <t>Broken weir</t>
  </si>
  <si>
    <t xml:space="preserve">Dams </t>
  </si>
  <si>
    <t>Dam (Large instream reservoir)</t>
  </si>
  <si>
    <t>Impoundment</t>
  </si>
  <si>
    <t>Pump</t>
  </si>
  <si>
    <t>Pumpstation</t>
  </si>
  <si>
    <t>Connectivity</t>
  </si>
  <si>
    <t>Bulldozing</t>
  </si>
  <si>
    <t>Development / Recreation area</t>
  </si>
  <si>
    <t>Instream</t>
  </si>
  <si>
    <t>Debris</t>
  </si>
  <si>
    <t>Water quality</t>
  </si>
  <si>
    <t>Thermal</t>
  </si>
  <si>
    <t>Clearing - alien vegetation</t>
  </si>
  <si>
    <t>Clearing - natural vegetation</t>
  </si>
  <si>
    <t xml:space="preserve">Irrigated </t>
  </si>
  <si>
    <t>Stabilizing structure</t>
  </si>
  <si>
    <t>Canalization / furrow</t>
  </si>
  <si>
    <t>F</t>
  </si>
  <si>
    <t>AR</t>
  </si>
  <si>
    <t>GR</t>
  </si>
  <si>
    <r>
      <t>AR</t>
    </r>
    <r>
      <rPr>
        <sz val="10"/>
        <rFont val="Arial"/>
        <family val="0"/>
      </rPr>
      <t xml:space="preserve"> = Average rating</t>
    </r>
  </si>
  <si>
    <r>
      <t>GR</t>
    </r>
    <r>
      <rPr>
        <sz val="10"/>
        <rFont val="Arial"/>
        <family val="0"/>
      </rPr>
      <t xml:space="preserve"> = Guidance rating</t>
    </r>
  </si>
  <si>
    <r>
      <t>F</t>
    </r>
    <r>
      <rPr>
        <sz val="10"/>
        <rFont val="Arial"/>
        <family val="0"/>
      </rPr>
      <t xml:space="preserve">   = Frequency</t>
    </r>
  </si>
  <si>
    <t>Impact description</t>
  </si>
  <si>
    <t>Impact/modification group</t>
  </si>
  <si>
    <t>Mechanical bank modifications</t>
  </si>
  <si>
    <t>Mechanical bed modifications</t>
  </si>
  <si>
    <t xml:space="preserve">     Natural vegetation</t>
  </si>
  <si>
    <t xml:space="preserve">     Alien/invasive vegetation</t>
  </si>
  <si>
    <t xml:space="preserve">Runoff/effluent: </t>
  </si>
  <si>
    <t xml:space="preserve">     Urban areas</t>
  </si>
  <si>
    <t xml:space="preserve">     Irrigation</t>
  </si>
  <si>
    <t xml:space="preserve">     Industries</t>
  </si>
  <si>
    <t xml:space="preserve">     Treated sewage</t>
  </si>
  <si>
    <t>Effluent:</t>
  </si>
  <si>
    <t xml:space="preserve">     Point-source pollution:Thermal</t>
  </si>
  <si>
    <t xml:space="preserve">     Erosion stabilizing structures</t>
  </si>
  <si>
    <t xml:space="preserve">     Mining activities</t>
  </si>
  <si>
    <t>Effluent</t>
  </si>
  <si>
    <t xml:space="preserve">     Effluent</t>
  </si>
  <si>
    <t xml:space="preserve">     Point-source pollution</t>
  </si>
  <si>
    <t>Longitudinal</t>
  </si>
  <si>
    <t>Lateral</t>
  </si>
  <si>
    <t xml:space="preserve">     Other instream disturbance</t>
  </si>
  <si>
    <t>Mechanical modification and disturbance</t>
  </si>
  <si>
    <t>River bed</t>
  </si>
  <si>
    <t xml:space="preserve">     Invasive vegetation removal</t>
  </si>
  <si>
    <t>Water column: Exotic Aquatic macrophytes</t>
  </si>
  <si>
    <t>Water column: Algal growth</t>
  </si>
  <si>
    <t>Rubbish dumping</t>
  </si>
  <si>
    <t>Crossings low water</t>
  </si>
  <si>
    <t>Abstraction (run-of river)/increased flows</t>
  </si>
  <si>
    <t>Bed: stabilization (e.g. concrete)</t>
  </si>
  <si>
    <t xml:space="preserve">MODIFICATION INDICATOR FROM </t>
  </si>
  <si>
    <t>AERIAL OBSERVATIONS</t>
  </si>
  <si>
    <t>RATING OF SEVERITY</t>
  </si>
  <si>
    <t>Bank Stabilization</t>
  </si>
  <si>
    <t>Stabilization</t>
  </si>
  <si>
    <t>Bed scouring</t>
  </si>
</sst>
</file>

<file path=xl/styles.xml><?xml version="1.0" encoding="utf-8"?>
<styleSheet xmlns="http://schemas.openxmlformats.org/spreadsheetml/2006/main">
  <numFmts count="12">
    <numFmt numFmtId="5" formatCode="&quot;Z$&quot;#,##0_);\(&quot;Z$&quot;#,##0\)"/>
    <numFmt numFmtId="6" formatCode="&quot;Z$&quot;#,##0_);[Red]\(&quot;Z$&quot;#,##0\)"/>
    <numFmt numFmtId="7" formatCode="&quot;Z$&quot;#,##0.00_);\(&quot;Z$&quot;#,##0.00\)"/>
    <numFmt numFmtId="8" formatCode="&quot;Z$&quot;#,##0.00_);[Red]\(&quot;Z$&quot;#,##0.00\)"/>
    <numFmt numFmtId="42" formatCode="_(&quot;Z$&quot;* #,##0_);_(&quot;Z$&quot;* \(#,##0\);_(&quot;Z$&quot;* &quot;-&quot;_);_(@_)"/>
    <numFmt numFmtId="41" formatCode="_(* #,##0_);_(* \(#,##0\);_(* &quot;-&quot;_);_(@_)"/>
    <numFmt numFmtId="44" formatCode="_(&quot;Z$&quot;* #,##0.00_);_(&quot;Z$&quot;* \(#,##0.00\);_(&quot;Z$&quot;* &quot;-&quot;??_);_(@_)"/>
    <numFmt numFmtId="43" formatCode="_(* #,##0.00_);_(* \(#,##0.00\);_(* &quot;-&quot;??_);_(@_)"/>
    <numFmt numFmtId="164" formatCode="[$-3009]dddd\,\ mmmm\ dd\,\ yyyy"/>
    <numFmt numFmtId="165" formatCode="yyyy/mm/dd;@"/>
    <numFmt numFmtId="166" formatCode="0.0"/>
    <numFmt numFmtId="167" formatCode="0.0000"/>
  </numFmts>
  <fonts count="7">
    <font>
      <sz val="10"/>
      <name val="Arial"/>
      <family val="0"/>
    </font>
    <font>
      <sz val="8"/>
      <name val="MS Sans Serif"/>
      <family val="0"/>
    </font>
    <font>
      <sz val="8"/>
      <name val="Arial"/>
      <family val="0"/>
    </font>
    <font>
      <b/>
      <sz val="10"/>
      <name val="Arial"/>
      <family val="0"/>
    </font>
    <font>
      <sz val="10"/>
      <color indexed="4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0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medium"/>
      <top style="double"/>
      <bottom style="medium"/>
    </border>
    <border>
      <left style="double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double"/>
      <right style="thin"/>
      <top style="double"/>
      <bottom>
        <color indexed="63"/>
      </bottom>
    </border>
    <border>
      <left style="medium"/>
      <right style="double"/>
      <top style="medium"/>
      <bottom style="thin"/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left" vertical="top" wrapText="1"/>
      <protection/>
    </xf>
    <xf numFmtId="14" fontId="1" fillId="3" borderId="1" xfId="0" applyNumberFormat="1" applyFont="1" applyFill="1" applyBorder="1" applyAlignment="1" applyProtection="1">
      <alignment horizontal="left" vertical="top" wrapText="1"/>
      <protection/>
    </xf>
    <xf numFmtId="14" fontId="1" fillId="0" borderId="1" xfId="0" applyNumberFormat="1" applyFont="1" applyFill="1" applyBorder="1" applyAlignment="1" applyProtection="1">
      <alignment horizontal="left" vertical="top" wrapText="1"/>
      <protection/>
    </xf>
    <xf numFmtId="21" fontId="1" fillId="3" borderId="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6" fontId="0" fillId="0" borderId="9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0" fillId="0" borderId="0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0" borderId="14" xfId="0" applyBorder="1" applyAlignment="1">
      <alignment/>
    </xf>
    <xf numFmtId="0" fontId="3" fillId="0" borderId="15" xfId="0" applyFont="1" applyBorder="1" applyAlignment="1">
      <alignment horizontal="center" vertical="center"/>
    </xf>
    <xf numFmtId="166" fontId="0" fillId="0" borderId="16" xfId="0" applyNumberFormat="1" applyBorder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vertical="center"/>
    </xf>
    <xf numFmtId="0" fontId="3" fillId="0" borderId="27" xfId="0" applyFont="1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166" fontId="0" fillId="0" borderId="11" xfId="0" applyNumberFormat="1" applyFill="1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 horizontal="left"/>
    </xf>
    <xf numFmtId="0" fontId="0" fillId="0" borderId="34" xfId="0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166" fontId="0" fillId="0" borderId="37" xfId="0" applyNumberFormat="1" applyFill="1" applyBorder="1" applyAlignment="1">
      <alignment horizontal="center"/>
    </xf>
    <xf numFmtId="166" fontId="4" fillId="0" borderId="23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166" fontId="0" fillId="0" borderId="23" xfId="0" applyNumberFormat="1" applyFill="1" applyBorder="1" applyAlignment="1">
      <alignment horizontal="center"/>
    </xf>
    <xf numFmtId="0" fontId="0" fillId="0" borderId="27" xfId="0" applyBorder="1" applyAlignment="1">
      <alignment/>
    </xf>
    <xf numFmtId="166" fontId="0" fillId="0" borderId="12" xfId="0" applyNumberFormat="1" applyFill="1" applyBorder="1" applyAlignment="1">
      <alignment horizontal="center"/>
    </xf>
    <xf numFmtId="166" fontId="0" fillId="0" borderId="13" xfId="0" applyNumberFormat="1" applyFill="1" applyBorder="1" applyAlignment="1">
      <alignment horizontal="center"/>
    </xf>
    <xf numFmtId="166" fontId="3" fillId="0" borderId="9" xfId="0" applyNumberFormat="1" applyFont="1" applyFill="1" applyBorder="1" applyAlignment="1">
      <alignment horizontal="center" vertical="center"/>
    </xf>
    <xf numFmtId="166" fontId="0" fillId="0" borderId="38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0" fillId="0" borderId="33" xfId="0" applyBorder="1" applyAlignment="1">
      <alignment/>
    </xf>
    <xf numFmtId="166" fontId="0" fillId="0" borderId="22" xfId="0" applyNumberFormat="1" applyFill="1" applyBorder="1" applyAlignment="1">
      <alignment horizontal="center"/>
    </xf>
    <xf numFmtId="0" fontId="0" fillId="0" borderId="33" xfId="0" applyFill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0" fillId="0" borderId="34" xfId="0" applyFill="1" applyBorder="1" applyAlignment="1">
      <alignment/>
    </xf>
    <xf numFmtId="166" fontId="0" fillId="0" borderId="9" xfId="0" applyNumberFormat="1" applyFill="1" applyBorder="1" applyAlignment="1">
      <alignment horizontal="center"/>
    </xf>
    <xf numFmtId="166" fontId="0" fillId="0" borderId="18" xfId="0" applyNumberFormat="1" applyFill="1" applyBorder="1" applyAlignment="1">
      <alignment horizontal="center"/>
    </xf>
    <xf numFmtId="166" fontId="0" fillId="0" borderId="16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0" fillId="0" borderId="40" xfId="0" applyNumberFormat="1" applyFill="1" applyBorder="1" applyAlignment="1">
      <alignment horizontal="center"/>
    </xf>
    <xf numFmtId="166" fontId="0" fillId="0" borderId="41" xfId="0" applyNumberFormat="1" applyFill="1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166" fontId="3" fillId="0" borderId="43" xfId="0" applyNumberFormat="1" applyFont="1" applyFill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9" xfId="0" applyFill="1" applyBorder="1" applyAlignment="1">
      <alignment/>
    </xf>
    <xf numFmtId="166" fontId="0" fillId="0" borderId="44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20" xfId="0" applyFont="1" applyFill="1" applyBorder="1" applyAlignment="1">
      <alignment horizontal="center"/>
    </xf>
    <xf numFmtId="166" fontId="0" fillId="0" borderId="21" xfId="0" applyNumberFormat="1" applyFill="1" applyBorder="1" applyAlignment="1">
      <alignment horizontal="center"/>
    </xf>
    <xf numFmtId="166" fontId="0" fillId="0" borderId="14" xfId="0" applyNumberForma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1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0" fontId="3" fillId="4" borderId="45" xfId="0" applyFont="1" applyFill="1" applyBorder="1" applyAlignment="1" applyProtection="1">
      <alignment vertical="center"/>
      <protection/>
    </xf>
    <xf numFmtId="0" fontId="3" fillId="4" borderId="46" xfId="0" applyFont="1" applyFill="1" applyBorder="1" applyAlignment="1" applyProtection="1">
      <alignment horizontal="center" vertical="center"/>
      <protection/>
    </xf>
    <xf numFmtId="0" fontId="3" fillId="4" borderId="47" xfId="0" applyFont="1" applyFill="1" applyBorder="1" applyAlignment="1" applyProtection="1">
      <alignment horizontal="center" vertical="center"/>
      <protection/>
    </xf>
    <xf numFmtId="0" fontId="3" fillId="4" borderId="48" xfId="0" applyFont="1" applyFill="1" applyBorder="1" applyAlignment="1" applyProtection="1">
      <alignment horizontal="center" vertical="center"/>
      <protection/>
    </xf>
    <xf numFmtId="0" fontId="3" fillId="4" borderId="49" xfId="0" applyFont="1" applyFill="1" applyBorder="1" applyAlignment="1" applyProtection="1">
      <alignment horizontal="left" vertical="center"/>
      <protection/>
    </xf>
    <xf numFmtId="0" fontId="3" fillId="4" borderId="50" xfId="0" applyFont="1" applyFill="1" applyBorder="1" applyAlignment="1" applyProtection="1">
      <alignment horizontal="center" vertical="center"/>
      <protection/>
    </xf>
    <xf numFmtId="0" fontId="3" fillId="5" borderId="4" xfId="0" applyFont="1" applyFill="1" applyBorder="1" applyAlignment="1" applyProtection="1">
      <alignment vertical="center"/>
      <protection/>
    </xf>
    <xf numFmtId="0" fontId="3" fillId="5" borderId="51" xfId="0" applyFont="1" applyFill="1" applyBorder="1" applyAlignment="1" applyProtection="1">
      <alignment horizontal="center" vertical="center"/>
      <protection/>
    </xf>
    <xf numFmtId="0" fontId="3" fillId="5" borderId="52" xfId="0" applyFont="1" applyFill="1" applyBorder="1" applyAlignment="1" applyProtection="1">
      <alignment horizontal="center" vertical="center"/>
      <protection/>
    </xf>
    <xf numFmtId="0" fontId="0" fillId="5" borderId="53" xfId="0" applyFill="1" applyBorder="1" applyAlignment="1" applyProtection="1">
      <alignment vertical="center"/>
      <protection/>
    </xf>
    <xf numFmtId="0" fontId="0" fillId="5" borderId="51" xfId="0" applyFill="1" applyBorder="1" applyAlignment="1" applyProtection="1">
      <alignment horizontal="center" vertical="center"/>
      <protection/>
    </xf>
    <xf numFmtId="0" fontId="0" fillId="5" borderId="54" xfId="0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55" xfId="0" applyBorder="1" applyAlignment="1" applyProtection="1">
      <alignment horizontal="center" vertical="center"/>
      <protection/>
    </xf>
    <xf numFmtId="2" fontId="0" fillId="0" borderId="55" xfId="0" applyNumberFormat="1" applyBorder="1" applyAlignment="1" applyProtection="1">
      <alignment horizontal="center" vertical="center"/>
      <protection/>
    </xf>
    <xf numFmtId="166" fontId="0" fillId="0" borderId="56" xfId="0" applyNumberFormat="1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vertical="center"/>
      <protection/>
    </xf>
    <xf numFmtId="166" fontId="0" fillId="0" borderId="58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60" xfId="0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0" fillId="0" borderId="60" xfId="0" applyBorder="1" applyAlignment="1" applyProtection="1">
      <alignment horizontal="center" vertical="center"/>
      <protection/>
    </xf>
    <xf numFmtId="2" fontId="0" fillId="0" borderId="60" xfId="0" applyNumberFormat="1" applyBorder="1" applyAlignment="1" applyProtection="1">
      <alignment horizontal="center" vertical="center"/>
      <protection/>
    </xf>
    <xf numFmtId="166" fontId="0" fillId="0" borderId="62" xfId="0" applyNumberFormat="1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51" xfId="0" applyBorder="1" applyAlignment="1" applyProtection="1">
      <alignment horizontal="center" vertical="center"/>
      <protection/>
    </xf>
    <xf numFmtId="2" fontId="0" fillId="0" borderId="51" xfId="0" applyNumberFormat="1" applyBorder="1" applyAlignment="1" applyProtection="1">
      <alignment horizontal="center" vertical="center"/>
      <protection/>
    </xf>
    <xf numFmtId="166" fontId="0" fillId="0" borderId="54" xfId="0" applyNumberFormat="1" applyBorder="1" applyAlignment="1" applyProtection="1">
      <alignment horizontal="center" vertical="center"/>
      <protection/>
    </xf>
    <xf numFmtId="0" fontId="0" fillId="0" borderId="59" xfId="0" applyBorder="1" applyAlignment="1" applyProtection="1">
      <alignment horizontal="center" vertical="center"/>
      <protection/>
    </xf>
    <xf numFmtId="166" fontId="0" fillId="0" borderId="63" xfId="0" applyNumberFormat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vertical="center"/>
      <protection/>
    </xf>
    <xf numFmtId="0" fontId="0" fillId="0" borderId="65" xfId="0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horizontal="center" vertical="center"/>
      <protection/>
    </xf>
    <xf numFmtId="0" fontId="3" fillId="5" borderId="67" xfId="0" applyFont="1" applyFill="1" applyBorder="1" applyAlignment="1" applyProtection="1">
      <alignment vertical="center"/>
      <protection/>
    </xf>
    <xf numFmtId="0" fontId="0" fillId="5" borderId="68" xfId="0" applyFill="1" applyBorder="1" applyAlignment="1" applyProtection="1">
      <alignment vertical="center"/>
      <protection/>
    </xf>
    <xf numFmtId="166" fontId="0" fillId="0" borderId="69" xfId="0" applyNumberForma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61" xfId="0" applyFill="1" applyBorder="1" applyAlignment="1" applyProtection="1">
      <alignment vertical="center"/>
      <protection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63" xfId="0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vertical="center"/>
      <protection/>
    </xf>
    <xf numFmtId="0" fontId="0" fillId="0" borderId="53" xfId="0" applyFill="1" applyBorder="1" applyAlignment="1" applyProtection="1">
      <alignment vertical="center"/>
      <protection/>
    </xf>
    <xf numFmtId="0" fontId="0" fillId="0" borderId="72" xfId="0" applyFill="1" applyBorder="1" applyAlignment="1" applyProtection="1">
      <alignment vertical="center"/>
      <protection/>
    </xf>
    <xf numFmtId="0" fontId="0" fillId="0" borderId="70" xfId="0" applyFill="1" applyBorder="1" applyAlignment="1" applyProtection="1">
      <alignment horizontal="center" vertical="center"/>
      <protection/>
    </xf>
    <xf numFmtId="0" fontId="0" fillId="0" borderId="71" xfId="0" applyFill="1" applyBorder="1" applyAlignment="1" applyProtection="1">
      <alignment horizontal="center" vertical="center"/>
      <protection/>
    </xf>
    <xf numFmtId="166" fontId="0" fillId="0" borderId="70" xfId="0" applyNumberFormat="1" applyBorder="1" applyAlignment="1" applyProtection="1">
      <alignment horizontal="center" vertical="center"/>
      <protection/>
    </xf>
    <xf numFmtId="0" fontId="3" fillId="5" borderId="40" xfId="0" applyFont="1" applyFill="1" applyBorder="1" applyAlignment="1" applyProtection="1">
      <alignment vertical="center"/>
      <protection/>
    </xf>
    <xf numFmtId="0" fontId="0" fillId="0" borderId="72" xfId="0" applyBorder="1" applyAlignment="1" applyProtection="1">
      <alignment vertical="center"/>
      <protection/>
    </xf>
    <xf numFmtId="0" fontId="0" fillId="0" borderId="73" xfId="0" applyBorder="1" applyAlignment="1" applyProtection="1">
      <alignment vertical="center"/>
      <protection/>
    </xf>
    <xf numFmtId="0" fontId="3" fillId="5" borderId="17" xfId="0" applyFont="1" applyFill="1" applyBorder="1" applyAlignment="1" applyProtection="1">
      <alignment vertical="center"/>
      <protection/>
    </xf>
    <xf numFmtId="0" fontId="3" fillId="5" borderId="74" xfId="0" applyFont="1" applyFill="1" applyBorder="1" applyAlignment="1" applyProtection="1">
      <alignment vertical="center"/>
      <protection/>
    </xf>
    <xf numFmtId="0" fontId="0" fillId="5" borderId="41" xfId="0" applyFill="1" applyBorder="1" applyAlignment="1" applyProtection="1">
      <alignment vertical="center"/>
      <protection/>
    </xf>
    <xf numFmtId="0" fontId="0" fillId="5" borderId="75" xfId="0" applyFill="1" applyBorder="1" applyAlignment="1" applyProtection="1">
      <alignment horizontal="center" vertical="center"/>
      <protection/>
    </xf>
    <xf numFmtId="0" fontId="0" fillId="5" borderId="41" xfId="0" applyFill="1" applyBorder="1" applyAlignment="1" applyProtection="1">
      <alignment horizontal="center" vertical="center"/>
      <protection/>
    </xf>
    <xf numFmtId="0" fontId="0" fillId="5" borderId="76" xfId="0" applyFill="1" applyBorder="1" applyAlignment="1" applyProtection="1">
      <alignment horizontal="center" vertical="center"/>
      <protection/>
    </xf>
    <xf numFmtId="0" fontId="0" fillId="0" borderId="77" xfId="0" applyBorder="1" applyAlignment="1" applyProtection="1">
      <alignment vertical="center"/>
      <protection/>
    </xf>
    <xf numFmtId="0" fontId="0" fillId="0" borderId="78" xfId="0" applyBorder="1" applyAlignment="1" applyProtection="1">
      <alignment horizontal="center" vertical="center"/>
      <protection/>
    </xf>
    <xf numFmtId="0" fontId="0" fillId="0" borderId="79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166" fontId="0" fillId="5" borderId="37" xfId="0" applyNumberFormat="1" applyFill="1" applyBorder="1" applyAlignment="1">
      <alignment horizontal="center"/>
    </xf>
    <xf numFmtId="0" fontId="3" fillId="0" borderId="8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81" xfId="0" applyFont="1" applyBorder="1" applyAlignment="1">
      <alignment horizontal="center"/>
    </xf>
    <xf numFmtId="0" fontId="0" fillId="6" borderId="0" xfId="0" applyFill="1" applyAlignment="1" applyProtection="1">
      <alignment horizontal="center" vertical="center"/>
      <protection locked="0"/>
    </xf>
    <xf numFmtId="49" fontId="0" fillId="6" borderId="0" xfId="0" applyNumberFormat="1" applyFill="1" applyAlignment="1" applyProtection="1">
      <alignment horizontal="center" vertical="center"/>
      <protection locked="0"/>
    </xf>
    <xf numFmtId="166" fontId="0" fillId="0" borderId="0" xfId="0" applyNumberFormat="1" applyFont="1" applyFill="1" applyBorder="1" applyAlignment="1">
      <alignment horizontal="center"/>
    </xf>
    <xf numFmtId="21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0" fillId="0" borderId="82" xfId="0" applyBorder="1" applyAlignment="1" applyProtection="1">
      <alignment vertical="center"/>
      <protection/>
    </xf>
    <xf numFmtId="0" fontId="0" fillId="0" borderId="83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/>
    </xf>
    <xf numFmtId="0" fontId="3" fillId="0" borderId="84" xfId="0" applyFont="1" applyBorder="1" applyAlignment="1">
      <alignment/>
    </xf>
    <xf numFmtId="0" fontId="3" fillId="0" borderId="85" xfId="0" applyFont="1" applyBorder="1" applyAlignment="1">
      <alignment/>
    </xf>
    <xf numFmtId="166" fontId="0" fillId="7" borderId="17" xfId="0" applyNumberFormat="1" applyFill="1" applyBorder="1" applyAlignment="1">
      <alignment horizontal="center"/>
    </xf>
    <xf numFmtId="0" fontId="0" fillId="0" borderId="86" xfId="0" applyBorder="1" applyAlignment="1">
      <alignment/>
    </xf>
    <xf numFmtId="166" fontId="0" fillId="0" borderId="18" xfId="0" applyNumberFormat="1" applyFill="1" applyBorder="1" applyAlignment="1">
      <alignment/>
    </xf>
    <xf numFmtId="166" fontId="0" fillId="0" borderId="17" xfId="0" applyNumberFormat="1" applyFill="1" applyBorder="1" applyAlignment="1">
      <alignment/>
    </xf>
    <xf numFmtId="0" fontId="0" fillId="7" borderId="17" xfId="0" applyFont="1" applyFill="1" applyBorder="1" applyAlignment="1">
      <alignment/>
    </xf>
    <xf numFmtId="0" fontId="3" fillId="0" borderId="87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166" fontId="0" fillId="0" borderId="17" xfId="0" applyNumberFormat="1" applyFill="1" applyBorder="1" applyAlignment="1">
      <alignment horizontal="center"/>
    </xf>
    <xf numFmtId="166" fontId="0" fillId="0" borderId="17" xfId="0" applyNumberFormat="1" applyFont="1" applyFill="1" applyBorder="1" applyAlignment="1">
      <alignment horizontal="center"/>
    </xf>
    <xf numFmtId="0" fontId="3" fillId="0" borderId="89" xfId="0" applyFont="1" applyBorder="1" applyAlignment="1">
      <alignment/>
    </xf>
    <xf numFmtId="0" fontId="3" fillId="0" borderId="90" xfId="0" applyFont="1" applyBorder="1" applyAlignment="1">
      <alignment/>
    </xf>
    <xf numFmtId="166" fontId="0" fillId="0" borderId="91" xfId="0" applyNumberFormat="1" applyFill="1" applyBorder="1" applyAlignment="1">
      <alignment/>
    </xf>
    <xf numFmtId="166" fontId="0" fillId="0" borderId="92" xfId="0" applyNumberFormat="1" applyFill="1" applyBorder="1" applyAlignment="1">
      <alignment/>
    </xf>
    <xf numFmtId="0" fontId="0" fillId="0" borderId="93" xfId="0" applyBorder="1" applyAlignment="1">
      <alignment/>
    </xf>
    <xf numFmtId="0" fontId="0" fillId="5" borderId="94" xfId="0" applyFill="1" applyBorder="1" applyAlignment="1" applyProtection="1">
      <alignment vertical="center"/>
      <protection/>
    </xf>
    <xf numFmtId="0" fontId="0" fillId="0" borderId="75" xfId="0" applyBorder="1" applyAlignment="1" applyProtection="1">
      <alignment vertical="center"/>
      <protection/>
    </xf>
    <xf numFmtId="0" fontId="0" fillId="0" borderId="76" xfId="0" applyBorder="1" applyAlignment="1" applyProtection="1">
      <alignment vertical="center"/>
      <protection/>
    </xf>
    <xf numFmtId="0" fontId="0" fillId="0" borderId="95" xfId="0" applyBorder="1" applyAlignment="1" applyProtection="1">
      <alignment vertical="center"/>
      <protection/>
    </xf>
    <xf numFmtId="0" fontId="0" fillId="0" borderId="96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8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97" xfId="0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5" borderId="97" xfId="0" applyFill="1" applyBorder="1" applyAlignment="1" applyProtection="1">
      <alignment vertical="center"/>
      <protection/>
    </xf>
    <xf numFmtId="0" fontId="0" fillId="0" borderId="98" xfId="0" applyBorder="1" applyAlignment="1" applyProtection="1">
      <alignment vertical="center"/>
      <protection/>
    </xf>
    <xf numFmtId="0" fontId="0" fillId="0" borderId="26" xfId="0" applyBorder="1" applyAlignment="1" applyProtection="1">
      <alignment vertical="center"/>
      <protection/>
    </xf>
    <xf numFmtId="0" fontId="0" fillId="0" borderId="99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6" borderId="0" xfId="0" applyFill="1" applyAlignment="1" applyProtection="1">
      <alignment horizontal="center" vertical="center"/>
      <protection locked="0"/>
    </xf>
    <xf numFmtId="0" fontId="3" fillId="0" borderId="74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95" xfId="0" applyFill="1" applyBorder="1" applyAlignment="1" applyProtection="1">
      <alignment vertical="center"/>
      <protection/>
    </xf>
    <xf numFmtId="166" fontId="0" fillId="0" borderId="83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4" xfId="0" applyBorder="1" applyAlignment="1">
      <alignment horizontal="center"/>
    </xf>
    <xf numFmtId="166" fontId="0" fillId="0" borderId="11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66" fontId="0" fillId="0" borderId="100" xfId="0" applyNumberFormat="1" applyFill="1" applyBorder="1" applyAlignment="1">
      <alignment horizontal="center"/>
    </xf>
    <xf numFmtId="0" fontId="3" fillId="0" borderId="101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27" xfId="0" applyFont="1" applyBorder="1" applyAlignment="1">
      <alignment/>
    </xf>
    <xf numFmtId="0" fontId="0" fillId="0" borderId="80" xfId="0" applyBorder="1" applyAlignment="1">
      <alignment/>
    </xf>
    <xf numFmtId="0" fontId="0" fillId="0" borderId="11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99" xfId="0" applyFill="1" applyBorder="1" applyAlignment="1">
      <alignment/>
    </xf>
    <xf numFmtId="0" fontId="3" fillId="0" borderId="7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0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6" fontId="0" fillId="2" borderId="104" xfId="0" applyNumberFormat="1" applyFill="1" applyBorder="1" applyAlignment="1" applyProtection="1">
      <alignment horizontal="center"/>
      <protection hidden="1" locked="0"/>
    </xf>
    <xf numFmtId="166" fontId="0" fillId="2" borderId="22" xfId="0" applyNumberFormat="1" applyFill="1" applyBorder="1" applyAlignment="1" applyProtection="1">
      <alignment horizontal="center"/>
      <protection hidden="1" locked="0"/>
    </xf>
    <xf numFmtId="166" fontId="0" fillId="2" borderId="12" xfId="0" applyNumberFormat="1" applyFill="1" applyBorder="1" applyAlignment="1" applyProtection="1">
      <alignment horizontal="center"/>
      <protection hidden="1" locked="0"/>
    </xf>
    <xf numFmtId="166" fontId="0" fillId="7" borderId="22" xfId="0" applyNumberFormat="1" applyFill="1" applyBorder="1" applyAlignment="1" applyProtection="1">
      <alignment horizontal="center"/>
      <protection hidden="1" locked="0"/>
    </xf>
    <xf numFmtId="166" fontId="0" fillId="2" borderId="13" xfId="0" applyNumberFormat="1" applyFill="1" applyBorder="1" applyAlignment="1" applyProtection="1">
      <alignment horizontal="center"/>
      <protection hidden="1" locked="0"/>
    </xf>
    <xf numFmtId="0" fontId="0" fillId="0" borderId="7" xfId="0" applyBorder="1" applyAlignment="1" applyProtection="1">
      <alignment horizontal="center"/>
      <protection hidden="1"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80" xfId="0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31" xfId="0" applyFill="1" applyBorder="1" applyAlignment="1" applyProtection="1">
      <alignment/>
      <protection/>
    </xf>
    <xf numFmtId="0" fontId="0" fillId="7" borderId="31" xfId="0" applyFont="1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166" fontId="0" fillId="2" borderId="76" xfId="0" applyNumberFormat="1" applyFill="1" applyBorder="1" applyAlignment="1" applyProtection="1">
      <alignment horizontal="center"/>
      <protection hidden="1" locked="0"/>
    </xf>
    <xf numFmtId="166" fontId="0" fillId="2" borderId="28" xfId="0" applyNumberFormat="1" applyFill="1" applyBorder="1" applyAlignment="1" applyProtection="1">
      <alignment horizontal="center"/>
      <protection hidden="1" locked="0"/>
    </xf>
    <xf numFmtId="166" fontId="0" fillId="2" borderId="6" xfId="0" applyNumberFormat="1" applyFill="1" applyBorder="1" applyAlignment="1" applyProtection="1">
      <alignment horizontal="center"/>
      <protection hidden="1" locked="0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5F5F5"/>
      <rgbColor rgb="00ECE9D8"/>
      <rgbColor rgb="00ACA8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9"/>
  <sheetViews>
    <sheetView tabSelected="1" workbookViewId="0" topLeftCell="A1">
      <selection activeCell="G31" sqref="G31"/>
    </sheetView>
  </sheetViews>
  <sheetFormatPr defaultColWidth="9.140625" defaultRowHeight="12.75"/>
  <sheetData>
    <row r="1" spans="1:30" ht="12.75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8"/>
    </row>
    <row r="2" spans="1:30" ht="12.75">
      <c r="A2" s="3"/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8"/>
    </row>
    <row r="3" spans="1:30" ht="12.75">
      <c r="A3" s="3"/>
      <c r="B3" s="189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8"/>
    </row>
    <row r="4" spans="1:30" ht="12.75">
      <c r="A4" s="3"/>
      <c r="B4" s="189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8"/>
    </row>
    <row r="5" spans="1:30" ht="12.75">
      <c r="A5" s="3"/>
      <c r="B5" s="189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8"/>
    </row>
    <row r="6" spans="1:30" ht="12.75">
      <c r="A6" s="3"/>
      <c r="B6" s="189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8"/>
    </row>
    <row r="7" spans="1:30" ht="12.75">
      <c r="A7" s="3"/>
      <c r="B7" s="189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8"/>
    </row>
    <row r="8" spans="1:30" ht="12.75">
      <c r="A8" s="3"/>
      <c r="B8" s="189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90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8"/>
    </row>
    <row r="9" spans="1:30" ht="12.75">
      <c r="A9" s="3"/>
      <c r="B9" s="189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8"/>
    </row>
    <row r="10" spans="1:30" ht="12.75">
      <c r="A10" s="3"/>
      <c r="B10" s="189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8"/>
    </row>
    <row r="11" spans="1:30" ht="12.75">
      <c r="A11" s="3"/>
      <c r="B11" s="189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190"/>
      <c r="AC11" s="190"/>
      <c r="AD11" s="18"/>
    </row>
    <row r="12" spans="1:30" ht="12.75">
      <c r="A12" s="3"/>
      <c r="B12" s="189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8"/>
    </row>
    <row r="13" spans="1:30" ht="12.75">
      <c r="A13" s="3"/>
      <c r="B13" s="189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8"/>
    </row>
    <row r="14" spans="1:30" ht="12.75">
      <c r="A14" s="3"/>
      <c r="B14" s="189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8"/>
    </row>
    <row r="15" spans="1:30" ht="12.75">
      <c r="A15" s="3"/>
      <c r="B15" s="189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8"/>
    </row>
    <row r="16" spans="1:30" ht="12.75">
      <c r="A16" s="3"/>
      <c r="B16" s="189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8"/>
    </row>
    <row r="17" spans="1:30" ht="12.75">
      <c r="A17" s="3"/>
      <c r="B17" s="189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8"/>
    </row>
    <row r="18" spans="1:30" ht="12.75">
      <c r="A18" s="3"/>
      <c r="B18" s="189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8"/>
    </row>
    <row r="19" spans="1:30" ht="12.75">
      <c r="A19" s="3"/>
      <c r="B19" s="189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8"/>
    </row>
    <row r="20" spans="1:30" ht="12.75">
      <c r="A20" s="3"/>
      <c r="B20" s="189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8"/>
    </row>
    <row r="21" spans="1:30" ht="12.75">
      <c r="A21" s="3"/>
      <c r="B21" s="189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8"/>
    </row>
    <row r="22" spans="1:30" ht="12.75">
      <c r="A22" s="3"/>
      <c r="B22" s="189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8"/>
    </row>
    <row r="23" spans="1:30" ht="12.75">
      <c r="A23" s="3"/>
      <c r="B23" s="189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8"/>
    </row>
    <row r="24" spans="1:30" ht="12.75">
      <c r="A24" s="3"/>
      <c r="B24" s="189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8"/>
    </row>
    <row r="25" spans="1:30" ht="12.75">
      <c r="A25" s="3"/>
      <c r="B25" s="189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8"/>
    </row>
    <row r="26" spans="1:30" ht="12.75">
      <c r="A26" s="3"/>
      <c r="B26" s="189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8"/>
    </row>
    <row r="27" spans="1:30" ht="12.75">
      <c r="A27" s="3"/>
      <c r="B27" s="189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8"/>
    </row>
    <row r="28" spans="1:30" ht="12.75">
      <c r="A28" s="3"/>
      <c r="B28" s="189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8"/>
    </row>
    <row r="29" spans="1:30" ht="12.75">
      <c r="A29" s="3"/>
      <c r="B29" s="189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8"/>
    </row>
    <row r="30" spans="1:30" ht="12.75">
      <c r="A30" s="3"/>
      <c r="B30" s="189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8"/>
    </row>
    <row r="31" spans="1:30" ht="12.75">
      <c r="A31" s="3"/>
      <c r="B31" s="189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8"/>
    </row>
    <row r="32" spans="1:30" ht="12.75">
      <c r="A32" s="3"/>
      <c r="B32" s="189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8"/>
    </row>
    <row r="33" spans="1:30" ht="12.75">
      <c r="A33" s="3"/>
      <c r="B33" s="189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8"/>
    </row>
    <row r="34" spans="1:30" ht="12.75">
      <c r="A34" s="3"/>
      <c r="B34" s="189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8"/>
    </row>
    <row r="35" spans="1:30" ht="12.75">
      <c r="A35" s="3"/>
      <c r="B35" s="189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8"/>
    </row>
    <row r="36" spans="1:30" ht="12.75">
      <c r="A36" s="3"/>
      <c r="B36" s="189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8"/>
    </row>
    <row r="37" spans="1:30" ht="12.75">
      <c r="A37" s="3"/>
      <c r="B37" s="189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8"/>
    </row>
    <row r="38" spans="1:30" ht="12.75">
      <c r="A38" s="3"/>
      <c r="B38" s="189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8"/>
    </row>
    <row r="39" spans="1:30" ht="12.75">
      <c r="A39" s="3"/>
      <c r="B39" s="189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8"/>
    </row>
    <row r="40" spans="1:30" ht="12.75">
      <c r="A40" s="3"/>
      <c r="B40" s="189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0"/>
      <c r="AD40" s="18"/>
    </row>
    <row r="41" spans="1:30" ht="12.75">
      <c r="A41" s="3"/>
      <c r="B41" s="189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8"/>
    </row>
    <row r="42" spans="1:30" ht="12.75">
      <c r="A42" s="3"/>
      <c r="B42" s="189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0"/>
      <c r="AB42" s="190"/>
      <c r="AC42" s="190"/>
      <c r="AD42" s="18"/>
    </row>
    <row r="43" spans="1:30" ht="12.75">
      <c r="A43" s="3"/>
      <c r="B43" s="189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  <c r="AD43" s="18"/>
    </row>
    <row r="44" spans="1:30" ht="12.75">
      <c r="A44" s="3"/>
      <c r="B44" s="189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8"/>
    </row>
    <row r="45" spans="1:30" ht="12.75">
      <c r="A45" s="3"/>
      <c r="B45" s="189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0"/>
      <c r="AB45" s="190"/>
      <c r="AC45" s="190"/>
      <c r="AD45" s="18"/>
    </row>
    <row r="46" spans="1:30" ht="12.75">
      <c r="A46" s="3"/>
      <c r="B46" s="189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8"/>
    </row>
    <row r="47" spans="1:30" ht="12.75">
      <c r="A47" s="3"/>
      <c r="B47" s="189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8"/>
    </row>
    <row r="48" spans="1:30" ht="12.75">
      <c r="A48" s="3"/>
      <c r="B48" s="189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8"/>
    </row>
    <row r="49" spans="1:30" ht="12.75">
      <c r="A49" s="3"/>
      <c r="B49" s="189"/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8"/>
    </row>
    <row r="50" spans="1:30" ht="12.75">
      <c r="A50" s="3"/>
      <c r="B50" s="189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8"/>
    </row>
    <row r="51" spans="1:30" ht="12.75">
      <c r="A51" s="3"/>
      <c r="B51" s="189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8"/>
    </row>
    <row r="52" spans="1:30" ht="12.75">
      <c r="A52" s="3"/>
      <c r="B52" s="189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0"/>
      <c r="W52" s="190"/>
      <c r="X52" s="190"/>
      <c r="Y52" s="190"/>
      <c r="Z52" s="190"/>
      <c r="AA52" s="190"/>
      <c r="AB52" s="190"/>
      <c r="AC52" s="190"/>
      <c r="AD52" s="18"/>
    </row>
    <row r="53" spans="1:30" ht="12.75">
      <c r="A53" s="3"/>
      <c r="B53" s="189"/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8"/>
    </row>
    <row r="54" spans="1:30" ht="12.75">
      <c r="A54" s="3"/>
      <c r="B54" s="189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8"/>
    </row>
    <row r="55" spans="1:30" ht="12.75">
      <c r="A55" s="3"/>
      <c r="B55" s="189"/>
      <c r="C55" s="190"/>
      <c r="D55" s="190"/>
      <c r="E55" s="190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0"/>
      <c r="W55" s="190"/>
      <c r="X55" s="190"/>
      <c r="Y55" s="190"/>
      <c r="Z55" s="190"/>
      <c r="AA55" s="190"/>
      <c r="AB55" s="190"/>
      <c r="AC55" s="190"/>
      <c r="AD55" s="18"/>
    </row>
    <row r="56" spans="1:30" ht="12.75">
      <c r="A56" s="3"/>
      <c r="B56" s="189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8"/>
    </row>
    <row r="57" spans="1:30" ht="12.75">
      <c r="A57" s="3"/>
      <c r="B57" s="189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0"/>
      <c r="V57" s="190"/>
      <c r="W57" s="190"/>
      <c r="X57" s="190"/>
      <c r="Y57" s="190"/>
      <c r="Z57" s="190"/>
      <c r="AA57" s="190"/>
      <c r="AB57" s="190"/>
      <c r="AC57" s="190"/>
      <c r="AD57" s="18"/>
    </row>
    <row r="58" spans="1:30" ht="12.75">
      <c r="A58" s="3"/>
      <c r="B58" s="189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0"/>
      <c r="V58" s="190"/>
      <c r="W58" s="190"/>
      <c r="X58" s="190"/>
      <c r="Y58" s="190"/>
      <c r="Z58" s="190"/>
      <c r="AA58" s="190"/>
      <c r="AB58" s="190"/>
      <c r="AC58" s="190"/>
      <c r="AD58" s="18"/>
    </row>
    <row r="59" spans="1:30" ht="12.75">
      <c r="A59" s="3"/>
      <c r="B59" s="189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0"/>
      <c r="AD59" s="18"/>
    </row>
    <row r="60" spans="1:30" ht="12.75">
      <c r="A60" s="3"/>
      <c r="B60" s="189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190"/>
      <c r="AC60" s="190"/>
      <c r="AD60" s="18"/>
    </row>
    <row r="61" spans="1:30" ht="12.75">
      <c r="A61" s="3"/>
      <c r="B61" s="189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90"/>
      <c r="W61" s="190"/>
      <c r="X61" s="190"/>
      <c r="Y61" s="190"/>
      <c r="Z61" s="190"/>
      <c r="AA61" s="190"/>
      <c r="AB61" s="190"/>
      <c r="AC61" s="190"/>
      <c r="AD61" s="18"/>
    </row>
    <row r="62" spans="1:30" ht="12.75">
      <c r="A62" s="3"/>
      <c r="B62" s="189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8"/>
    </row>
    <row r="63" spans="1:30" ht="12.75">
      <c r="A63" s="3"/>
      <c r="B63" s="189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90"/>
      <c r="W63" s="190"/>
      <c r="X63" s="190"/>
      <c r="Y63" s="190"/>
      <c r="Z63" s="190"/>
      <c r="AA63" s="190"/>
      <c r="AB63" s="190"/>
      <c r="AC63" s="190"/>
      <c r="AD63" s="18"/>
    </row>
    <row r="64" spans="1:30" ht="12.75">
      <c r="A64" s="3"/>
      <c r="B64" s="189"/>
      <c r="C64" s="190"/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0"/>
      <c r="V64" s="190"/>
      <c r="W64" s="190"/>
      <c r="X64" s="190"/>
      <c r="Y64" s="190"/>
      <c r="Z64" s="190"/>
      <c r="AA64" s="190"/>
      <c r="AB64" s="190"/>
      <c r="AC64" s="190"/>
      <c r="AD64" s="18"/>
    </row>
    <row r="65" spans="1:30" ht="12.75">
      <c r="A65" s="3"/>
      <c r="B65" s="189"/>
      <c r="C65" s="190"/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0"/>
      <c r="AA65" s="190"/>
      <c r="AB65" s="190"/>
      <c r="AC65" s="190"/>
      <c r="AD65" s="18"/>
    </row>
    <row r="66" spans="1:30" ht="12.75">
      <c r="A66" s="3"/>
      <c r="B66" s="189"/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0"/>
      <c r="V66" s="190"/>
      <c r="W66" s="190"/>
      <c r="X66" s="190"/>
      <c r="Y66" s="190"/>
      <c r="Z66" s="190"/>
      <c r="AA66" s="190"/>
      <c r="AB66" s="190"/>
      <c r="AC66" s="190"/>
      <c r="AD66" s="18"/>
    </row>
    <row r="67" spans="1:30" ht="12.75">
      <c r="A67" s="3"/>
      <c r="B67" s="189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0"/>
      <c r="V67" s="190"/>
      <c r="W67" s="190"/>
      <c r="X67" s="190"/>
      <c r="Y67" s="190"/>
      <c r="Z67" s="190"/>
      <c r="AA67" s="190"/>
      <c r="AB67" s="190"/>
      <c r="AC67" s="190"/>
      <c r="AD67" s="18"/>
    </row>
    <row r="68" spans="1:30" ht="12.75">
      <c r="A68" s="3"/>
      <c r="B68" s="189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0"/>
      <c r="V68" s="190"/>
      <c r="W68" s="190"/>
      <c r="X68" s="190"/>
      <c r="Y68" s="190"/>
      <c r="Z68" s="190"/>
      <c r="AA68" s="190"/>
      <c r="AB68" s="190"/>
      <c r="AC68" s="190"/>
      <c r="AD68" s="18"/>
    </row>
    <row r="69" spans="1:30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</row>
    <row r="70" spans="1:30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</row>
    <row r="71" spans="1:30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</row>
    <row r="72" spans="1:30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</row>
    <row r="73" spans="1:30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</row>
    <row r="74" spans="1:30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</row>
    <row r="75" spans="1:30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</row>
    <row r="76" spans="1:30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</row>
    <row r="77" spans="1:30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</row>
    <row r="78" spans="1:30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</row>
    <row r="79" spans="1:30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93"/>
  <sheetViews>
    <sheetView workbookViewId="0" topLeftCell="A1">
      <selection activeCell="E6" sqref="E6"/>
    </sheetView>
  </sheetViews>
  <sheetFormatPr defaultColWidth="9.140625" defaultRowHeight="12.75"/>
  <cols>
    <col min="1" max="1" width="3.28125" style="40" customWidth="1"/>
    <col min="2" max="2" width="25.00390625" style="40" customWidth="1"/>
    <col min="3" max="3" width="4.7109375" style="43" hidden="1" customWidth="1"/>
    <col min="4" max="4" width="4.8515625" style="43" hidden="1" customWidth="1"/>
    <col min="5" max="7" width="7.7109375" style="43" customWidth="1"/>
    <col min="8" max="8" width="3.57421875" style="40" customWidth="1"/>
    <col min="9" max="9" width="26.8515625" style="40" bestFit="1" customWidth="1"/>
    <col min="10" max="11" width="4.57421875" style="43" hidden="1" customWidth="1"/>
    <col min="12" max="14" width="7.7109375" style="43" customWidth="1"/>
    <col min="15" max="15" width="9.140625" style="46" customWidth="1"/>
  </cols>
  <sheetData>
    <row r="1" spans="6:14" ht="12.75">
      <c r="F1" s="40"/>
      <c r="G1" s="40"/>
      <c r="J1" s="40"/>
      <c r="K1" s="40"/>
      <c r="L1" s="40"/>
      <c r="M1" s="40"/>
      <c r="N1" s="40"/>
    </row>
    <row r="2" spans="2:14" ht="12.75">
      <c r="B2" s="41" t="s">
        <v>92</v>
      </c>
      <c r="C2" s="40"/>
      <c r="D2" s="40"/>
      <c r="E2" s="233"/>
      <c r="F2" s="233"/>
      <c r="G2" s="233"/>
      <c r="H2" s="233"/>
      <c r="J2" s="40"/>
      <c r="K2" s="40"/>
      <c r="L2" s="40"/>
      <c r="M2" s="40"/>
      <c r="N2" s="40"/>
    </row>
    <row r="3" spans="3:14" ht="12.75">
      <c r="C3" s="40"/>
      <c r="D3" s="40"/>
      <c r="E3" s="178"/>
      <c r="F3" s="178"/>
      <c r="G3" s="178"/>
      <c r="H3" s="178"/>
      <c r="J3" s="40"/>
      <c r="K3" s="40"/>
      <c r="L3" s="40"/>
      <c r="M3" s="40"/>
      <c r="N3" s="40"/>
    </row>
    <row r="4" spans="2:14" ht="12.75">
      <c r="B4" s="41" t="s">
        <v>11</v>
      </c>
      <c r="C4" s="40"/>
      <c r="D4" s="40"/>
      <c r="E4" s="187"/>
      <c r="F4" s="178"/>
      <c r="G4" s="178"/>
      <c r="H4" s="178"/>
      <c r="J4" s="40"/>
      <c r="K4" s="40"/>
      <c r="L4" s="40"/>
      <c r="M4" s="40"/>
      <c r="N4" s="40"/>
    </row>
    <row r="5" spans="3:14" ht="12.75">
      <c r="C5" s="40"/>
      <c r="D5" s="40"/>
      <c r="E5" s="179"/>
      <c r="F5" s="178"/>
      <c r="G5" s="178"/>
      <c r="H5" s="178"/>
      <c r="J5" s="40"/>
      <c r="K5" s="40"/>
      <c r="L5" s="40"/>
      <c r="M5" s="40"/>
      <c r="N5" s="40"/>
    </row>
    <row r="6" spans="2:14" ht="12.75">
      <c r="B6" s="41" t="s">
        <v>9</v>
      </c>
      <c r="C6" s="40"/>
      <c r="D6" s="40"/>
      <c r="E6" s="186"/>
      <c r="F6" s="178"/>
      <c r="G6" s="178"/>
      <c r="H6" s="178"/>
      <c r="J6" s="40"/>
      <c r="K6" s="40"/>
      <c r="L6" s="40"/>
      <c r="M6" s="40"/>
      <c r="N6" s="40"/>
    </row>
    <row r="7" spans="2:16" ht="13.5" thickBot="1">
      <c r="B7" s="44"/>
      <c r="C7" s="40"/>
      <c r="D7" s="40"/>
      <c r="E7" s="47"/>
      <c r="F7" s="44"/>
      <c r="G7" s="44"/>
      <c r="H7" s="44"/>
      <c r="I7" s="44"/>
      <c r="J7" s="44"/>
      <c r="K7" s="44"/>
      <c r="L7" s="44"/>
      <c r="M7" s="44"/>
      <c r="N7" s="44"/>
      <c r="P7" s="13"/>
    </row>
    <row r="8" spans="2:16" ht="14.25" thickBot="1" thickTop="1">
      <c r="B8" s="106" t="s">
        <v>155</v>
      </c>
      <c r="C8" s="107"/>
      <c r="D8" s="107"/>
      <c r="E8" s="107" t="s">
        <v>148</v>
      </c>
      <c r="F8" s="107" t="s">
        <v>149</v>
      </c>
      <c r="G8" s="108" t="s">
        <v>150</v>
      </c>
      <c r="H8" s="109"/>
      <c r="I8" s="110" t="s">
        <v>154</v>
      </c>
      <c r="J8" s="107"/>
      <c r="K8" s="107"/>
      <c r="L8" s="107" t="s">
        <v>148</v>
      </c>
      <c r="M8" s="107" t="s">
        <v>149</v>
      </c>
      <c r="N8" s="111" t="s">
        <v>150</v>
      </c>
      <c r="P8" s="13"/>
    </row>
    <row r="9" spans="2:14" ht="12.75">
      <c r="B9" s="112" t="s">
        <v>0</v>
      </c>
      <c r="C9" s="113"/>
      <c r="D9" s="113"/>
      <c r="E9" s="113"/>
      <c r="F9" s="113"/>
      <c r="G9" s="114"/>
      <c r="H9" s="234"/>
      <c r="I9" s="115"/>
      <c r="J9" s="116"/>
      <c r="K9" s="116"/>
      <c r="L9" s="116"/>
      <c r="M9" s="116"/>
      <c r="N9" s="117"/>
    </row>
    <row r="10" spans="2:14" ht="12.75">
      <c r="B10" s="118" t="s">
        <v>32</v>
      </c>
      <c r="C10" s="119">
        <f>COUNTIF('MG Data'!$F:$F,"Weirs")</f>
        <v>0</v>
      </c>
      <c r="D10" s="119">
        <f>SUMIF('MG Data'!$F:$F,"Weirs",'MG Data'!$AC:$AC)</f>
        <v>0</v>
      </c>
      <c r="E10" s="120" t="e">
        <f>C10/$E$6</f>
        <v>#DIV/0!</v>
      </c>
      <c r="F10" s="120">
        <f>IF(C10=0,"",D10/C10)</f>
      </c>
      <c r="G10" s="121" t="e">
        <f>IF(E10=0,"",F10*E10)</f>
        <v>#DIV/0!</v>
      </c>
      <c r="H10" s="222"/>
      <c r="I10" s="122" t="s">
        <v>128</v>
      </c>
      <c r="J10" s="119">
        <f>COUNTIF('MG Data'!$G:$G,"Weir with fishladder")</f>
        <v>0</v>
      </c>
      <c r="K10" s="119">
        <f>SUMIF('MG Data'!$G:$G,"Weir with fishladder",'MG Data'!$AC:$AC)</f>
        <v>0</v>
      </c>
      <c r="L10" s="120" t="e">
        <f>J10/$E$6</f>
        <v>#DIV/0!</v>
      </c>
      <c r="M10" s="120">
        <f>IF(J10=0,"",K10/J10)</f>
      </c>
      <c r="N10" s="123" t="e">
        <f>IF(L10=0,"",M10*L10)</f>
        <v>#DIV/0!</v>
      </c>
    </row>
    <row r="11" spans="2:14" ht="12.75">
      <c r="B11" s="124"/>
      <c r="C11" s="125"/>
      <c r="D11" s="126"/>
      <c r="E11" s="127"/>
      <c r="F11" s="127"/>
      <c r="G11" s="126"/>
      <c r="H11" s="194"/>
      <c r="I11" s="128" t="s">
        <v>129</v>
      </c>
      <c r="J11" s="129">
        <f>COUNTIF('MG Data'!$G:$G,"Weir - no fishladder")</f>
        <v>0</v>
      </c>
      <c r="K11" s="129">
        <f>SUMIF('MG Data'!$G:$G,"Weir - no fishladder",'MG Data'!$AC:$AC)</f>
        <v>0</v>
      </c>
      <c r="L11" s="130" t="e">
        <f aca="true" t="shared" si="0" ref="L11:L22">J11/$E$6</f>
        <v>#DIV/0!</v>
      </c>
      <c r="M11" s="130">
        <f aca="true" t="shared" si="1" ref="M11:M22">IF(J11=0,"",K11/J11)</f>
      </c>
      <c r="N11" s="131" t="e">
        <f aca="true" t="shared" si="2" ref="N11:N22">IF(L11=0,"",M11*L11)</f>
        <v>#DIV/0!</v>
      </c>
    </row>
    <row r="12" spans="2:14" ht="12.75">
      <c r="B12" s="132"/>
      <c r="C12" s="133"/>
      <c r="D12" s="134"/>
      <c r="E12" s="135"/>
      <c r="F12" s="135"/>
      <c r="G12" s="136"/>
      <c r="H12" s="235"/>
      <c r="I12" s="133" t="s">
        <v>130</v>
      </c>
      <c r="J12" s="138">
        <f>COUNTIF('MG Data'!$G:$G,"Broken weir")</f>
        <v>0</v>
      </c>
      <c r="K12" s="138">
        <f>SUMIF('MG Data'!$G:$G,"Broken weir",'MG Data'!$AC:$AC)</f>
        <v>0</v>
      </c>
      <c r="L12" s="139" t="e">
        <f t="shared" si="0"/>
        <v>#DIV/0!</v>
      </c>
      <c r="M12" s="139">
        <f t="shared" si="1"/>
      </c>
      <c r="N12" s="140" t="e">
        <f t="shared" si="2"/>
        <v>#DIV/0!</v>
      </c>
    </row>
    <row r="13" spans="2:14" ht="12.75">
      <c r="B13" s="124" t="s">
        <v>131</v>
      </c>
      <c r="C13" s="141">
        <f>COUNTIF('MG Data'!$F:$F,"Dams")</f>
        <v>0</v>
      </c>
      <c r="D13" s="129">
        <f>SUMIF('MG Data'!$F:$F,"Dams",'MG Data'!$AC:$AC)</f>
        <v>0</v>
      </c>
      <c r="E13" s="130" t="e">
        <f>C13/$E$6</f>
        <v>#DIV/0!</v>
      </c>
      <c r="F13" s="130">
        <f>IF(C13=0,"",D13/C13)</f>
      </c>
      <c r="G13" s="142" t="e">
        <f>IF(E13=0,"",F13*E13)</f>
        <v>#DIV/0!</v>
      </c>
      <c r="H13" s="221"/>
      <c r="I13" s="128" t="s">
        <v>132</v>
      </c>
      <c r="J13" s="129">
        <f>COUNTIF('MG Data'!$H:$H,"Dam (Large instream reservoir)")</f>
        <v>0</v>
      </c>
      <c r="K13" s="129">
        <f>SUMIF('MG Data'!$H:$H,"Dam (Large instream reservoir)",'MG Data'!$AC:$AC)</f>
        <v>0</v>
      </c>
      <c r="L13" s="130" t="e">
        <f t="shared" si="0"/>
        <v>#DIV/0!</v>
      </c>
      <c r="M13" s="130">
        <f t="shared" si="1"/>
      </c>
      <c r="N13" s="131" t="e">
        <f t="shared" si="2"/>
        <v>#DIV/0!</v>
      </c>
    </row>
    <row r="14" spans="2:14" ht="12.75">
      <c r="B14" s="143"/>
      <c r="C14" s="144"/>
      <c r="D14" s="144"/>
      <c r="E14" s="144"/>
      <c r="F14" s="144"/>
      <c r="G14" s="145"/>
      <c r="H14" s="235"/>
      <c r="I14" s="133" t="s">
        <v>133</v>
      </c>
      <c r="J14" s="138">
        <f>COUNTIF('MG Data'!$H:$H,"Impoundment")</f>
        <v>0</v>
      </c>
      <c r="K14" s="138">
        <f>SUMIF('MG Data'!$H:$H,"Impoundment",'MG Data'!$AC:$AC)</f>
        <v>0</v>
      </c>
      <c r="L14" s="139" t="e">
        <f t="shared" si="0"/>
        <v>#DIV/0!</v>
      </c>
      <c r="M14" s="139">
        <f t="shared" si="1"/>
      </c>
      <c r="N14" s="140" t="e">
        <f t="shared" si="2"/>
        <v>#DIV/0!</v>
      </c>
    </row>
    <row r="15" spans="2:14" ht="12.75">
      <c r="B15" s="124" t="s">
        <v>1</v>
      </c>
      <c r="C15" s="129">
        <f>COUNTIF('MG Data'!$F:$F,"Water abstraction")</f>
        <v>0</v>
      </c>
      <c r="D15" s="129">
        <f>SUMIF('MG Data'!$F:$F,"Water abstraction",'MG Data'!$AC:$AC)</f>
        <v>0</v>
      </c>
      <c r="E15" s="130" t="e">
        <f>C15/$E$6</f>
        <v>#DIV/0!</v>
      </c>
      <c r="F15" s="130">
        <f>IF(C15=0,"",D15/C15)</f>
      </c>
      <c r="G15" s="142" t="e">
        <f>IF(E15=0,"",F15*E15)</f>
        <v>#DIV/0!</v>
      </c>
      <c r="H15" s="221"/>
      <c r="I15" s="128" t="s">
        <v>134</v>
      </c>
      <c r="J15" s="129">
        <f>COUNTIF('MG Data'!$I:$I,"Pump")</f>
        <v>0</v>
      </c>
      <c r="K15" s="129">
        <f>SUMIF('MG Data'!$I:$I,"Pump",'MG Data'!$AC:$AC)</f>
        <v>0</v>
      </c>
      <c r="L15" s="130" t="e">
        <f t="shared" si="0"/>
        <v>#DIV/0!</v>
      </c>
      <c r="M15" s="130">
        <f t="shared" si="1"/>
      </c>
      <c r="N15" s="131" t="e">
        <f t="shared" si="2"/>
        <v>#DIV/0!</v>
      </c>
    </row>
    <row r="16" spans="2:14" ht="12.75">
      <c r="B16" s="124"/>
      <c r="C16" s="129"/>
      <c r="D16" s="129"/>
      <c r="E16" s="129"/>
      <c r="F16" s="129"/>
      <c r="G16" s="146"/>
      <c r="H16" s="222"/>
      <c r="I16" s="125" t="s">
        <v>135</v>
      </c>
      <c r="J16" s="129">
        <f>COUNTIF('MG Data'!$I:$I,"Pumpstation")</f>
        <v>0</v>
      </c>
      <c r="K16" s="129">
        <f>SUMIF('MG Data'!$I:$I,"Pumpstation",'MG Data'!$AC:$AC)</f>
        <v>0</v>
      </c>
      <c r="L16" s="130" t="e">
        <f t="shared" si="0"/>
        <v>#DIV/0!</v>
      </c>
      <c r="M16" s="130">
        <f t="shared" si="1"/>
      </c>
      <c r="N16" s="131" t="e">
        <f t="shared" si="2"/>
        <v>#DIV/0!</v>
      </c>
    </row>
    <row r="17" spans="2:14" ht="12.75">
      <c r="B17" s="132"/>
      <c r="C17" s="138"/>
      <c r="D17" s="138"/>
      <c r="E17" s="138"/>
      <c r="F17" s="138"/>
      <c r="G17" s="147"/>
      <c r="H17" s="235"/>
      <c r="I17" s="133" t="s">
        <v>123</v>
      </c>
      <c r="J17" s="138">
        <f>COUNTIF('MG Data'!$I:$I,"Other")</f>
        <v>0</v>
      </c>
      <c r="K17" s="138">
        <f>SUMIF('MG Data'!$I:$I,"Other",'MG Data'!$AC:$AC)</f>
        <v>0</v>
      </c>
      <c r="L17" s="139" t="e">
        <f t="shared" si="0"/>
        <v>#DIV/0!</v>
      </c>
      <c r="M17" s="139">
        <f t="shared" si="1"/>
      </c>
      <c r="N17" s="140" t="e">
        <f t="shared" si="2"/>
        <v>#DIV/0!</v>
      </c>
    </row>
    <row r="18" spans="2:14" ht="12.75">
      <c r="B18" s="124" t="s">
        <v>110</v>
      </c>
      <c r="C18" s="129">
        <f>COUNTIF('MG Data'!$F:$F,"Runoff/effluent")</f>
        <v>0</v>
      </c>
      <c r="D18" s="129">
        <f>SUMIF('MG Data'!$F:$F,"Runoff/effluent",'MG Data'!$AC:$AC)</f>
        <v>0</v>
      </c>
      <c r="E18" s="130" t="e">
        <f>C18/$E$6</f>
        <v>#DIV/0!</v>
      </c>
      <c r="F18" s="130">
        <f>IF(C18=0,"",D18/C18)</f>
      </c>
      <c r="G18" s="142" t="e">
        <f>IF(E18=0,"",F18*E18)</f>
        <v>#DIV/0!</v>
      </c>
      <c r="H18" s="221"/>
      <c r="I18" s="125" t="s">
        <v>111</v>
      </c>
      <c r="J18" s="129">
        <f>COUNTIF('MG Data'!$J:$J,"Urban area")</f>
        <v>0</v>
      </c>
      <c r="K18" s="129">
        <f>SUMIF('MG Data'!$J:$J,"Urban area",'MG Data'!$AC:$AC)</f>
        <v>0</v>
      </c>
      <c r="L18" s="130" t="e">
        <f t="shared" si="0"/>
        <v>#DIV/0!</v>
      </c>
      <c r="M18" s="130">
        <f t="shared" si="1"/>
      </c>
      <c r="N18" s="131" t="e">
        <f t="shared" si="2"/>
        <v>#DIV/0!</v>
      </c>
    </row>
    <row r="19" spans="2:14" ht="12.75">
      <c r="B19" s="124"/>
      <c r="C19" s="129"/>
      <c r="D19" s="129"/>
      <c r="E19" s="129"/>
      <c r="F19" s="129"/>
      <c r="G19" s="146"/>
      <c r="H19" s="222"/>
      <c r="I19" s="125" t="s">
        <v>102</v>
      </c>
      <c r="J19" s="129">
        <f>COUNTIF('MG Data'!$J:$J,"Irrigation")</f>
        <v>0</v>
      </c>
      <c r="K19" s="129">
        <f>SUMIF('MG Data'!$J:$J,"Irrigation",'MG Data'!$AC:$AC)</f>
        <v>0</v>
      </c>
      <c r="L19" s="130" t="e">
        <f t="shared" si="0"/>
        <v>#DIV/0!</v>
      </c>
      <c r="M19" s="130">
        <f t="shared" si="1"/>
      </c>
      <c r="N19" s="131" t="e">
        <f t="shared" si="2"/>
        <v>#DIV/0!</v>
      </c>
    </row>
    <row r="20" spans="2:14" ht="12.75">
      <c r="B20" s="124"/>
      <c r="C20" s="129"/>
      <c r="D20" s="129"/>
      <c r="E20" s="129"/>
      <c r="F20" s="129"/>
      <c r="G20" s="146"/>
      <c r="H20" s="222"/>
      <c r="I20" s="125" t="s">
        <v>96</v>
      </c>
      <c r="J20" s="129">
        <f>COUNTIF('MG Data'!$J:$J,"Industries")</f>
        <v>0</v>
      </c>
      <c r="K20" s="129">
        <f>SUMIF('MG Data'!$J:$J,"Industries",'MG Data'!$AC:$AC)</f>
        <v>0</v>
      </c>
      <c r="L20" s="130" t="e">
        <f t="shared" si="0"/>
        <v>#DIV/0!</v>
      </c>
      <c r="M20" s="130">
        <f t="shared" si="1"/>
      </c>
      <c r="N20" s="131" t="e">
        <f t="shared" si="2"/>
        <v>#DIV/0!</v>
      </c>
    </row>
    <row r="21" spans="2:14" ht="12.75">
      <c r="B21" s="124"/>
      <c r="C21" s="129"/>
      <c r="D21" s="129"/>
      <c r="E21" s="129"/>
      <c r="F21" s="129"/>
      <c r="G21" s="146"/>
      <c r="H21" s="222"/>
      <c r="I21" s="125" t="s">
        <v>37</v>
      </c>
      <c r="J21" s="129">
        <f>COUNTIF('MG Data'!$J:$J,"Mining")</f>
        <v>0</v>
      </c>
      <c r="K21" s="129">
        <f>SUMIF('MG Data'!$J:$J,"Mining",'MG Data'!$AC:$AC)</f>
        <v>0</v>
      </c>
      <c r="L21" s="130" t="e">
        <f t="shared" si="0"/>
        <v>#DIV/0!</v>
      </c>
      <c r="M21" s="130">
        <f t="shared" si="1"/>
      </c>
      <c r="N21" s="131" t="e">
        <f t="shared" si="2"/>
        <v>#DIV/0!</v>
      </c>
    </row>
    <row r="22" spans="2:14" ht="12.75">
      <c r="B22" s="132"/>
      <c r="C22" s="138"/>
      <c r="D22" s="138"/>
      <c r="E22" s="138"/>
      <c r="F22" s="138"/>
      <c r="G22" s="147"/>
      <c r="H22" s="235"/>
      <c r="I22" s="133" t="s">
        <v>114</v>
      </c>
      <c r="J22" s="138">
        <f>COUNTIF('MG Data'!$J:$J,"Treated sewage return flow")</f>
        <v>0</v>
      </c>
      <c r="K22" s="138">
        <f>SUMIF('MG Data'!$J:$J,"Treated sewage return flow",'MG Data'!$AC:$AC)</f>
        <v>0</v>
      </c>
      <c r="L22" s="139" t="e">
        <f t="shared" si="0"/>
        <v>#DIV/0!</v>
      </c>
      <c r="M22" s="139">
        <f t="shared" si="1"/>
      </c>
      <c r="N22" s="140" t="e">
        <f t="shared" si="2"/>
        <v>#DIV/0!</v>
      </c>
    </row>
    <row r="23" spans="2:14" ht="12.75">
      <c r="B23" s="124" t="s">
        <v>2</v>
      </c>
      <c r="C23" s="129">
        <f>COUNTIF('MG Data'!$F:$F,"Other water inlet")</f>
        <v>0</v>
      </c>
      <c r="D23" s="129">
        <f>SUMIF('MG Data'!$F:$F,"Other water inlet",'MG Data'!$AC:$AC)</f>
        <v>0</v>
      </c>
      <c r="E23" s="130" t="e">
        <f>C23/$E$6</f>
        <v>#DIV/0!</v>
      </c>
      <c r="F23" s="130">
        <f>IF(C23=0,"",D23/C23)</f>
      </c>
      <c r="G23" s="142" t="e">
        <f>IF(E23=0,"",F23*E23)</f>
        <v>#DIV/0!</v>
      </c>
      <c r="H23" s="221"/>
      <c r="I23" s="236"/>
      <c r="J23" s="192"/>
      <c r="K23" s="192"/>
      <c r="L23" s="192"/>
      <c r="M23" s="192"/>
      <c r="N23" s="193"/>
    </row>
    <row r="24" spans="2:14" ht="12.75">
      <c r="B24" s="124" t="s">
        <v>115</v>
      </c>
      <c r="C24" s="129">
        <f>COUNTIF('MG Data'!$F:$F,"Inter basin transfer")</f>
        <v>0</v>
      </c>
      <c r="D24" s="129">
        <f>SUMIF('MG Data'!$F:$F,"Inter basin transfer",'MG Data'!$AC:$AC)</f>
        <v>0</v>
      </c>
      <c r="E24" s="130" t="e">
        <f>C24/$E$6</f>
        <v>#DIV/0!</v>
      </c>
      <c r="F24" s="130">
        <f>IF(C24=0,"",D24/C24)</f>
      </c>
      <c r="G24" s="142" t="e">
        <f>IF(E24=0,"",F24*E24)</f>
        <v>#DIV/0!</v>
      </c>
      <c r="H24" s="222"/>
      <c r="I24" s="194"/>
      <c r="J24" s="224"/>
      <c r="K24" s="224"/>
      <c r="L24" s="224"/>
      <c r="M24" s="224"/>
      <c r="N24" s="196"/>
    </row>
    <row r="25" spans="2:14" ht="13.5" thickBot="1">
      <c r="B25" s="148"/>
      <c r="C25" s="149"/>
      <c r="D25" s="149"/>
      <c r="E25" s="149"/>
      <c r="F25" s="149"/>
      <c r="G25" s="150"/>
      <c r="H25" s="223"/>
      <c r="I25" s="191"/>
      <c r="J25" s="219"/>
      <c r="K25" s="219"/>
      <c r="L25" s="219"/>
      <c r="M25" s="219"/>
      <c r="N25" s="220"/>
    </row>
    <row r="26" spans="2:14" ht="12.75">
      <c r="B26" s="112" t="s">
        <v>136</v>
      </c>
      <c r="C26" s="113"/>
      <c r="D26" s="113"/>
      <c r="E26" s="113"/>
      <c r="F26" s="113"/>
      <c r="G26" s="114"/>
      <c r="H26" s="151"/>
      <c r="I26" s="152"/>
      <c r="J26" s="116"/>
      <c r="K26" s="116"/>
      <c r="L26" s="116"/>
      <c r="M26" s="116"/>
      <c r="N26" s="117"/>
    </row>
    <row r="27" spans="2:14" ht="12.75">
      <c r="B27" s="118" t="s">
        <v>3</v>
      </c>
      <c r="C27" s="119">
        <f>COUNTIF('MG Data'!$K:$K,"Roads &amp; crossings")</f>
        <v>0</v>
      </c>
      <c r="D27" s="119">
        <f>SUMIF('MG Data'!$K:$K,"Roads &amp; crossings",'MG Data'!$AC:$AC)</f>
        <v>0</v>
      </c>
      <c r="E27" s="120" t="e">
        <f>C27/$E$6</f>
        <v>#DIV/0!</v>
      </c>
      <c r="F27" s="120">
        <f>IF(C27=0,"",D27/C27)</f>
      </c>
      <c r="G27" s="153" t="e">
        <f>IF(E27=0,"",F27*E27)</f>
        <v>#DIV/0!</v>
      </c>
      <c r="H27" s="221"/>
      <c r="I27" s="122" t="s">
        <v>41</v>
      </c>
      <c r="J27" s="119">
        <f>COUNTIF('MG Data'!$L:$L,"Road - dirt")</f>
        <v>0</v>
      </c>
      <c r="K27" s="119">
        <f>SUMIF('MG Data'!$L:$L,"Road - dirt",'MG Data'!$AC:$AC)</f>
        <v>0</v>
      </c>
      <c r="L27" s="120" t="e">
        <f aca="true" t="shared" si="3" ref="L27:L42">J27/$E$6</f>
        <v>#DIV/0!</v>
      </c>
      <c r="M27" s="120">
        <f aca="true" t="shared" si="4" ref="M27:M42">IF(J27=0,"",K27/J27)</f>
      </c>
      <c r="N27" s="123" t="e">
        <f aca="true" t="shared" si="5" ref="N27:N42">IF(L27=0,"",M27*L27)</f>
        <v>#DIV/0!</v>
      </c>
    </row>
    <row r="28" spans="2:14" ht="12.75">
      <c r="B28" s="124"/>
      <c r="C28" s="129"/>
      <c r="D28" s="129"/>
      <c r="E28" s="129"/>
      <c r="F28" s="129"/>
      <c r="G28" s="154"/>
      <c r="H28" s="222"/>
      <c r="I28" s="128" t="s">
        <v>45</v>
      </c>
      <c r="J28" s="129">
        <f>COUNTIF('MG Data'!$L:$L,"Road - tar")</f>
        <v>0</v>
      </c>
      <c r="K28" s="129">
        <f>SUMIF('MG Data'!$L:$L,"Road - tar",'MG Data'!$AC:$AC)</f>
        <v>0</v>
      </c>
      <c r="L28" s="130" t="e">
        <f t="shared" si="3"/>
        <v>#DIV/0!</v>
      </c>
      <c r="M28" s="130">
        <f t="shared" si="4"/>
      </c>
      <c r="N28" s="131" t="e">
        <f t="shared" si="5"/>
        <v>#DIV/0!</v>
      </c>
    </row>
    <row r="29" spans="2:14" ht="12.75">
      <c r="B29" s="124"/>
      <c r="C29" s="129"/>
      <c r="D29" s="129"/>
      <c r="E29" s="129"/>
      <c r="F29" s="129"/>
      <c r="G29" s="154"/>
      <c r="H29" s="222"/>
      <c r="I29" s="125" t="s">
        <v>44</v>
      </c>
      <c r="J29" s="129">
        <f>COUNTIF('MG Data'!$L:$L,"Bridge - high water")</f>
        <v>0</v>
      </c>
      <c r="K29" s="129">
        <f>SUMIF('MG Data'!$L:$L,"Bridge - high water",'MG Data'!$AC:$AC)</f>
        <v>0</v>
      </c>
      <c r="L29" s="130" t="e">
        <f t="shared" si="3"/>
        <v>#DIV/0!</v>
      </c>
      <c r="M29" s="130">
        <f t="shared" si="4"/>
      </c>
      <c r="N29" s="131" t="e">
        <f t="shared" si="5"/>
        <v>#DIV/0!</v>
      </c>
    </row>
    <row r="30" spans="2:14" ht="12.75">
      <c r="B30" s="132"/>
      <c r="C30" s="138"/>
      <c r="D30" s="138"/>
      <c r="E30" s="138"/>
      <c r="F30" s="138"/>
      <c r="G30" s="155"/>
      <c r="H30" s="137"/>
      <c r="I30" s="133" t="s">
        <v>42</v>
      </c>
      <c r="J30" s="138">
        <f>COUNTIF('MG Data'!$L:$L,"Crossing or drift - low water")</f>
        <v>0</v>
      </c>
      <c r="K30" s="138">
        <f>SUMIF('MG Data'!$L:$L,"Crossing or drift - low water",'MG Data'!$AC:$AC)</f>
        <v>0</v>
      </c>
      <c r="L30" s="139" t="e">
        <f t="shared" si="3"/>
        <v>#DIV/0!</v>
      </c>
      <c r="M30" s="139">
        <f t="shared" si="4"/>
      </c>
      <c r="N30" s="140" t="e">
        <f t="shared" si="5"/>
        <v>#DIV/0!</v>
      </c>
    </row>
    <row r="31" spans="2:14" ht="12.75">
      <c r="B31" s="156" t="s">
        <v>116</v>
      </c>
      <c r="C31" s="129">
        <f>COUNTIF('MG Data'!$K:$K,"Mechanical bed modification")</f>
        <v>0</v>
      </c>
      <c r="D31" s="129">
        <f>SUMIF('MG Data'!$K:$K,"Mechanical bed modification",'MG Data'!$AC:$AC)</f>
        <v>0</v>
      </c>
      <c r="E31" s="130" t="e">
        <f>C31/$E$6</f>
        <v>#DIV/0!</v>
      </c>
      <c r="F31" s="130">
        <f>IF(C31=0,"",D31/C31)</f>
      </c>
      <c r="G31" s="142" t="e">
        <f>IF(E31=0,"",F31*E31)</f>
        <v>#DIV/0!</v>
      </c>
      <c r="H31" s="221"/>
      <c r="I31" s="157" t="s">
        <v>137</v>
      </c>
      <c r="J31" s="129">
        <f>COUNTIF('MG Data'!$M:$M,"Bulldozing")</f>
        <v>0</v>
      </c>
      <c r="K31" s="129">
        <f>SUMIF('MG Data'!$M:$M,"Bulldozing",'MG Data'!$AC:$AC)</f>
        <v>0</v>
      </c>
      <c r="L31" s="130" t="e">
        <f t="shared" si="3"/>
        <v>#DIV/0!</v>
      </c>
      <c r="M31" s="130">
        <f t="shared" si="4"/>
      </c>
      <c r="N31" s="131" t="e">
        <f t="shared" si="5"/>
        <v>#DIV/0!</v>
      </c>
    </row>
    <row r="32" spans="2:14" ht="12.75">
      <c r="B32" s="156"/>
      <c r="C32" s="158"/>
      <c r="D32" s="158"/>
      <c r="E32" s="158"/>
      <c r="F32" s="158"/>
      <c r="G32" s="159"/>
      <c r="H32" s="222"/>
      <c r="I32" s="160" t="s">
        <v>118</v>
      </c>
      <c r="J32" s="129">
        <f>COUNTIF('MG Data'!$M:$M,"Channel straightening")</f>
        <v>0</v>
      </c>
      <c r="K32" s="129">
        <f>SUMIF('MG Data'!$M:$M,"Channel straightening",'MG Data'!$AC:$AC)</f>
        <v>0</v>
      </c>
      <c r="L32" s="130" t="e">
        <f t="shared" si="3"/>
        <v>#DIV/0!</v>
      </c>
      <c r="M32" s="130">
        <f t="shared" si="4"/>
      </c>
      <c r="N32" s="131" t="e">
        <f t="shared" si="5"/>
        <v>#DIV/0!</v>
      </c>
    </row>
    <row r="33" spans="2:14" ht="12.75">
      <c r="B33" s="156"/>
      <c r="C33" s="158"/>
      <c r="D33" s="158"/>
      <c r="E33" s="158"/>
      <c r="F33" s="158"/>
      <c r="G33" s="159"/>
      <c r="H33" s="222"/>
      <c r="I33" s="160" t="s">
        <v>189</v>
      </c>
      <c r="J33" s="129">
        <f>COUNTIF('MG Data'!$M:$M,"Bed scouring")</f>
        <v>0</v>
      </c>
      <c r="K33" s="129">
        <f>SUMIF('MG Data'!$M:$M,"Bed scouring",'MG Data'!$AC:$AC)</f>
        <v>0</v>
      </c>
      <c r="L33" s="130" t="e">
        <f t="shared" si="3"/>
        <v>#DIV/0!</v>
      </c>
      <c r="M33" s="130">
        <f t="shared" si="4"/>
      </c>
      <c r="N33" s="131" t="e">
        <f t="shared" si="5"/>
        <v>#DIV/0!</v>
      </c>
    </row>
    <row r="34" spans="2:14" ht="12.75">
      <c r="B34" s="156"/>
      <c r="C34" s="158"/>
      <c r="D34" s="158"/>
      <c r="E34" s="158"/>
      <c r="F34" s="158"/>
      <c r="G34" s="159"/>
      <c r="H34" s="222"/>
      <c r="I34" s="160" t="s">
        <v>188</v>
      </c>
      <c r="J34" s="129">
        <f>COUNTIF('MG Data'!$M:$M,"Stabilization")</f>
        <v>0</v>
      </c>
      <c r="K34" s="129">
        <f>SUMIF('MG Data'!$M:$M,"Stabilization",'MG Data'!$AC:$AC)</f>
        <v>0</v>
      </c>
      <c r="L34" s="130" t="e">
        <f t="shared" si="3"/>
        <v>#DIV/0!</v>
      </c>
      <c r="M34" s="130">
        <f t="shared" si="4"/>
      </c>
      <c r="N34" s="131" t="e">
        <f t="shared" si="5"/>
        <v>#DIV/0!</v>
      </c>
    </row>
    <row r="35" spans="2:14" ht="12.75">
      <c r="B35" s="143"/>
      <c r="C35" s="144"/>
      <c r="D35" s="144"/>
      <c r="E35" s="144"/>
      <c r="F35" s="144"/>
      <c r="G35" s="145"/>
      <c r="H35" s="235"/>
      <c r="I35" s="161" t="s">
        <v>123</v>
      </c>
      <c r="J35" s="138">
        <f>COUNTIF('MG Data'!$M:$M,"Other mechanical modification")</f>
        <v>0</v>
      </c>
      <c r="K35" s="138">
        <f>SUMIF('MG Data'!$M:$M,"Other mechanical modification",'MG Data'!$AC:$AC)</f>
        <v>0</v>
      </c>
      <c r="L35" s="139" t="e">
        <f t="shared" si="3"/>
        <v>#DIV/0!</v>
      </c>
      <c r="M35" s="139">
        <f t="shared" si="4"/>
      </c>
      <c r="N35" s="140" t="e">
        <f t="shared" si="5"/>
        <v>#DIV/0!</v>
      </c>
    </row>
    <row r="36" spans="2:14" ht="12.75">
      <c r="B36" s="156" t="s">
        <v>47</v>
      </c>
      <c r="C36" s="129">
        <f>COUNTIF('MG Data'!$K:$K,"Mechanical bank modification")</f>
        <v>0</v>
      </c>
      <c r="D36" s="129">
        <f>SUMIF('MG Data'!$K:$K,"Mechanical bank modification",'MG Data'!$AC:$AC)</f>
        <v>0</v>
      </c>
      <c r="E36" s="130" t="e">
        <f>C36/$E$6</f>
        <v>#DIV/0!</v>
      </c>
      <c r="F36" s="130">
        <f>IF(C36=0,"",D36/C36)</f>
      </c>
      <c r="G36" s="142" t="e">
        <f>IF(E36=0,"",F36*E36)</f>
        <v>#DIV/0!</v>
      </c>
      <c r="H36" s="221"/>
      <c r="I36" s="162" t="s">
        <v>147</v>
      </c>
      <c r="J36" s="129">
        <f>COUNTIF('MG Data'!$N:$N,"Canalization / furrow")</f>
        <v>0</v>
      </c>
      <c r="K36" s="129">
        <f>SUMIF('MG Data'!$N:$N,"Canalization / furrow",'MG Data'!$AC:$AC)</f>
        <v>0</v>
      </c>
      <c r="L36" s="130" t="e">
        <f t="shared" si="3"/>
        <v>#DIV/0!</v>
      </c>
      <c r="M36" s="130">
        <f t="shared" si="4"/>
      </c>
      <c r="N36" s="131" t="e">
        <f t="shared" si="5"/>
        <v>#DIV/0!</v>
      </c>
    </row>
    <row r="37" spans="2:14" ht="12.75">
      <c r="B37" s="156"/>
      <c r="C37" s="158"/>
      <c r="D37" s="158"/>
      <c r="E37" s="158"/>
      <c r="F37" s="158"/>
      <c r="G37" s="159"/>
      <c r="H37" s="222"/>
      <c r="I37" s="157" t="s">
        <v>117</v>
      </c>
      <c r="J37" s="129">
        <f>COUNTIF('MG Data'!$N:$N,"Artificial bank covering")</f>
        <v>0</v>
      </c>
      <c r="K37" s="129">
        <f>SUMIF('MG Data'!$N:$N,"Artificial bank covering",'MG Data'!$AC:$AC)</f>
        <v>0</v>
      </c>
      <c r="L37" s="130" t="e">
        <f t="shared" si="3"/>
        <v>#DIV/0!</v>
      </c>
      <c r="M37" s="130">
        <f t="shared" si="4"/>
      </c>
      <c r="N37" s="131" t="e">
        <f t="shared" si="5"/>
        <v>#DIV/0!</v>
      </c>
    </row>
    <row r="38" spans="2:14" ht="12.75">
      <c r="B38" s="156"/>
      <c r="C38" s="158"/>
      <c r="D38" s="158"/>
      <c r="E38" s="158"/>
      <c r="F38" s="158"/>
      <c r="G38" s="159"/>
      <c r="H38" s="222"/>
      <c r="I38" s="160" t="s">
        <v>119</v>
      </c>
      <c r="J38" s="129">
        <f>COUNTIF('MG Data'!$N:$N,"Stabilizing works")</f>
        <v>0</v>
      </c>
      <c r="K38" s="129">
        <f>SUMIF('MG Data'!$N:$N,"Stabilizing works",'MG Data'!$AC:$AC)</f>
        <v>0</v>
      </c>
      <c r="L38" s="130" t="e">
        <f t="shared" si="3"/>
        <v>#DIV/0!</v>
      </c>
      <c r="M38" s="130">
        <f t="shared" si="4"/>
      </c>
      <c r="N38" s="131" t="e">
        <f t="shared" si="5"/>
        <v>#DIV/0!</v>
      </c>
    </row>
    <row r="39" spans="2:14" ht="12.75">
      <c r="B39" s="156"/>
      <c r="C39" s="158"/>
      <c r="D39" s="158"/>
      <c r="E39" s="158"/>
      <c r="F39" s="158"/>
      <c r="G39" s="163"/>
      <c r="H39" s="222"/>
      <c r="I39" s="160" t="s">
        <v>138</v>
      </c>
      <c r="J39" s="129">
        <f>COUNTIF('MG Data'!$N:$N,"Development / Recreation area")</f>
        <v>0</v>
      </c>
      <c r="K39" s="129">
        <f>SUMIF('MG Data'!$N:$N,"Development / Recreation area",'MG Data'!$AC:$AC)</f>
        <v>0</v>
      </c>
      <c r="L39" s="130" t="e">
        <f t="shared" si="3"/>
        <v>#DIV/0!</v>
      </c>
      <c r="M39" s="130">
        <f t="shared" si="4"/>
      </c>
      <c r="N39" s="131" t="e">
        <f t="shared" si="5"/>
        <v>#DIV/0!</v>
      </c>
    </row>
    <row r="40" spans="2:14" ht="12.75">
      <c r="B40" s="143"/>
      <c r="C40" s="144"/>
      <c r="D40" s="144"/>
      <c r="E40" s="144"/>
      <c r="F40" s="144"/>
      <c r="G40" s="164"/>
      <c r="H40" s="235"/>
      <c r="I40" s="161" t="s">
        <v>123</v>
      </c>
      <c r="J40" s="138">
        <f>COUNTIF('MG Data'!$N:$N,"Other mechanical modification")</f>
        <v>0</v>
      </c>
      <c r="K40" s="138">
        <f>SUMIF('MG Data'!$N:$N,"Other mechanical modification",'MG Data'!$AC:$AC)</f>
        <v>0</v>
      </c>
      <c r="L40" s="139" t="e">
        <f t="shared" si="3"/>
        <v>#DIV/0!</v>
      </c>
      <c r="M40" s="139">
        <f t="shared" si="4"/>
      </c>
      <c r="N40" s="140" t="e">
        <f t="shared" si="5"/>
        <v>#DIV/0!</v>
      </c>
    </row>
    <row r="41" spans="2:14" ht="12.75">
      <c r="B41" s="124" t="s">
        <v>140</v>
      </c>
      <c r="C41" s="129">
        <f>COUNTIF('MG Data'!$K:$K,"Debris")</f>
        <v>0</v>
      </c>
      <c r="D41" s="129">
        <f>SUMIF('MG Data'!$K:$K,"Debris",'MG Data'!$AC:$AC)</f>
        <v>0</v>
      </c>
      <c r="E41" s="130" t="e">
        <f>C41/$E$6</f>
        <v>#DIV/0!</v>
      </c>
      <c r="F41" s="130">
        <f>IF(C41=0,"",D41/C41)</f>
      </c>
      <c r="G41" s="165" t="e">
        <f>IF(E41=0,"",F41*E41)</f>
        <v>#DIV/0!</v>
      </c>
      <c r="H41" s="221"/>
      <c r="I41" s="160" t="s">
        <v>139</v>
      </c>
      <c r="J41" s="129">
        <f>COUNTIF('MG Data'!$O:$O,"Instream")</f>
        <v>0</v>
      </c>
      <c r="K41" s="129">
        <f>SUMIF('MG Data'!$O:$O,"Instream",'MG Data'!$AC:$AC)</f>
        <v>0</v>
      </c>
      <c r="L41" s="130" t="e">
        <f t="shared" si="3"/>
        <v>#DIV/0!</v>
      </c>
      <c r="M41" s="130">
        <f t="shared" si="4"/>
      </c>
      <c r="N41" s="131" t="e">
        <f t="shared" si="5"/>
        <v>#DIV/0!</v>
      </c>
    </row>
    <row r="42" spans="2:14" ht="12.75">
      <c r="B42" s="124"/>
      <c r="C42" s="129"/>
      <c r="D42" s="129"/>
      <c r="E42" s="129"/>
      <c r="F42" s="129"/>
      <c r="G42" s="154"/>
      <c r="H42" s="235"/>
      <c r="I42" s="160" t="s">
        <v>39</v>
      </c>
      <c r="J42" s="129">
        <f>COUNTIF('MG Data'!$O:$O,"Riparian zone")</f>
        <v>0</v>
      </c>
      <c r="K42" s="129">
        <f>SUMIF('MG Data'!$O:$O,"Riparian zone",'MG Data'!$AC:$AC)</f>
        <v>0</v>
      </c>
      <c r="L42" s="130" t="e">
        <f t="shared" si="3"/>
        <v>#DIV/0!</v>
      </c>
      <c r="M42" s="130">
        <f t="shared" si="4"/>
      </c>
      <c r="N42" s="131" t="e">
        <f t="shared" si="5"/>
        <v>#DIV/0!</v>
      </c>
    </row>
    <row r="43" spans="2:14" ht="12.75">
      <c r="B43" s="118" t="s">
        <v>4</v>
      </c>
      <c r="C43" s="119">
        <f>COUNTIF('MG Data'!$K:$K,"Instream vegetation")</f>
        <v>0</v>
      </c>
      <c r="D43" s="119">
        <f>SUMIF('MG Data'!$K:$K,"Instream vegetation",'MG Data'!$AC:$AC)</f>
        <v>0</v>
      </c>
      <c r="E43" s="120" t="e">
        <f>C43/$E$6</f>
        <v>#DIV/0!</v>
      </c>
      <c r="F43" s="120">
        <f>IF(C43=0,"",D43/C43)</f>
      </c>
      <c r="G43" s="121" t="e">
        <f>IF(E43=0,"",F43*E43)</f>
        <v>#DIV/0!</v>
      </c>
      <c r="H43" s="221"/>
      <c r="I43" s="218"/>
      <c r="J43" s="192"/>
      <c r="K43" s="192"/>
      <c r="L43" s="192"/>
      <c r="M43" s="192"/>
      <c r="N43" s="193"/>
    </row>
    <row r="44" spans="2:14" ht="13.5" thickBot="1">
      <c r="B44" s="148"/>
      <c r="C44" s="149"/>
      <c r="D44" s="149"/>
      <c r="E44" s="149"/>
      <c r="F44" s="149"/>
      <c r="G44" s="150"/>
      <c r="H44" s="223"/>
      <c r="I44" s="191"/>
      <c r="J44" s="219"/>
      <c r="K44" s="219"/>
      <c r="L44" s="219"/>
      <c r="M44" s="219"/>
      <c r="N44" s="220"/>
    </row>
    <row r="45" spans="2:14" ht="12.75">
      <c r="B45" s="112" t="s">
        <v>141</v>
      </c>
      <c r="C45" s="113"/>
      <c r="D45" s="113"/>
      <c r="E45" s="113"/>
      <c r="F45" s="113"/>
      <c r="G45" s="114"/>
      <c r="H45" s="166"/>
      <c r="I45" s="115"/>
      <c r="J45" s="116"/>
      <c r="K45" s="116"/>
      <c r="L45" s="116"/>
      <c r="M45" s="116"/>
      <c r="N45" s="117"/>
    </row>
    <row r="46" spans="2:14" ht="12.75">
      <c r="B46" s="118" t="s">
        <v>19</v>
      </c>
      <c r="C46" s="119">
        <f>COUNTIF('MG Data'!$P:$P,"Solid waste disposal")</f>
        <v>0</v>
      </c>
      <c r="D46" s="119">
        <f>SUMIF('MG Data'!$P:$P,"Solid waste disposal",'MG Data'!AC:AC)</f>
        <v>0</v>
      </c>
      <c r="E46" s="120" t="e">
        <f>C46/$E$6</f>
        <v>#DIV/0!</v>
      </c>
      <c r="F46" s="120">
        <f>IF(C46=0,"",D46/C46)</f>
      </c>
      <c r="G46" s="153" t="e">
        <f>IF(E46=0,"",F46*E46)</f>
        <v>#DIV/0!</v>
      </c>
      <c r="H46" s="221"/>
      <c r="I46" s="167" t="s">
        <v>139</v>
      </c>
      <c r="J46" s="119">
        <f>COUNTIF('MG Data'!$Q:$Q,"Instream")</f>
        <v>0</v>
      </c>
      <c r="K46" s="119">
        <f>SUMIF('MG Data'!$Q:$Q,"Instream",'MG Data'!AC:AC)</f>
        <v>0</v>
      </c>
      <c r="L46" s="120" t="e">
        <f aca="true" t="shared" si="6" ref="L46:L51">J46/$E$6</f>
        <v>#DIV/0!</v>
      </c>
      <c r="M46" s="120">
        <f aca="true" t="shared" si="7" ref="M46:M51">IF(J46=0,"",K46/J46)</f>
      </c>
      <c r="N46" s="123" t="e">
        <f aca="true" t="shared" si="8" ref="N46:N51">IF(L46=0,"",M46*L46)</f>
        <v>#DIV/0!</v>
      </c>
    </row>
    <row r="47" spans="2:14" ht="12.75">
      <c r="B47" s="124"/>
      <c r="C47" s="129"/>
      <c r="D47" s="129"/>
      <c r="E47" s="129"/>
      <c r="F47" s="129"/>
      <c r="G47" s="154"/>
      <c r="H47" s="235"/>
      <c r="I47" s="128" t="s">
        <v>39</v>
      </c>
      <c r="J47" s="129">
        <f>COUNTIF('MG Data'!$Q:$Q,"Riparian zone")</f>
        <v>0</v>
      </c>
      <c r="K47" s="129">
        <f>SUMIF('MG Data'!$Q:$Q,"Riparian zone",'MG Data'!AC:AC)</f>
        <v>0</v>
      </c>
      <c r="L47" s="130" t="e">
        <f t="shared" si="6"/>
        <v>#DIV/0!</v>
      </c>
      <c r="M47" s="130">
        <f t="shared" si="7"/>
      </c>
      <c r="N47" s="131" t="e">
        <f t="shared" si="8"/>
        <v>#DIV/0!</v>
      </c>
    </row>
    <row r="48" spans="2:14" ht="12.75">
      <c r="B48" s="118" t="s">
        <v>34</v>
      </c>
      <c r="C48" s="119">
        <f>COUNTIF('MG Data'!$P:$P,"Point-source pollution")</f>
        <v>0</v>
      </c>
      <c r="D48" s="119">
        <f>SUMIF('MG Data'!$P:$P,"Point-source pollution",'MG Data'!AC:AC)</f>
        <v>0</v>
      </c>
      <c r="E48" s="120" t="e">
        <f>C48/$E$6</f>
        <v>#DIV/0!</v>
      </c>
      <c r="F48" s="120">
        <f>IF(C48=0,"",D48/C48)</f>
      </c>
      <c r="G48" s="153" t="e">
        <f>IF(E48=0,"",F48*E48)</f>
        <v>#DIV/0!</v>
      </c>
      <c r="H48" s="221"/>
      <c r="I48" s="167" t="s">
        <v>109</v>
      </c>
      <c r="J48" s="119">
        <f>COUNTIF('MG Data'!$R:$R,"Feedlot")</f>
        <v>0</v>
      </c>
      <c r="K48" s="119">
        <f>SUMIF('MG Data'!$R:$R,"Feedlot",'MG Data'!$AC:$AC)</f>
        <v>0</v>
      </c>
      <c r="L48" s="120" t="e">
        <f t="shared" si="6"/>
        <v>#DIV/0!</v>
      </c>
      <c r="M48" s="120">
        <f t="shared" si="7"/>
      </c>
      <c r="N48" s="123" t="e">
        <f t="shared" si="8"/>
        <v>#DIV/0!</v>
      </c>
    </row>
    <row r="49" spans="2:14" ht="12.75">
      <c r="B49" s="124"/>
      <c r="C49" s="129"/>
      <c r="D49" s="129"/>
      <c r="E49" s="129"/>
      <c r="F49" s="129"/>
      <c r="G49" s="154"/>
      <c r="H49" s="222"/>
      <c r="I49" s="128" t="s">
        <v>124</v>
      </c>
      <c r="J49" s="129">
        <f>COUNTIF('MG Data'!$R:$R,"Sewage")</f>
        <v>0</v>
      </c>
      <c r="K49" s="129">
        <f>SUMIF('MG Data'!$R:$R,"Sewage",'MG Data'!$AC:$AC)</f>
        <v>0</v>
      </c>
      <c r="L49" s="130" t="e">
        <f t="shared" si="6"/>
        <v>#DIV/0!</v>
      </c>
      <c r="M49" s="130">
        <f t="shared" si="7"/>
      </c>
      <c r="N49" s="131" t="e">
        <f t="shared" si="8"/>
        <v>#DIV/0!</v>
      </c>
    </row>
    <row r="50" spans="2:14" ht="12.75">
      <c r="B50" s="124"/>
      <c r="C50" s="129"/>
      <c r="D50" s="129"/>
      <c r="E50" s="129"/>
      <c r="F50" s="129"/>
      <c r="G50" s="154"/>
      <c r="H50" s="222"/>
      <c r="I50" s="128" t="s">
        <v>142</v>
      </c>
      <c r="J50" s="129">
        <f>COUNTIF('MG Data'!$R:$R,"Thermal")</f>
        <v>0</v>
      </c>
      <c r="K50" s="129">
        <f>SUMIF('MG Data'!$R:$R,"Thermal",'MG Data'!$AC:$AC)</f>
        <v>0</v>
      </c>
      <c r="L50" s="130" t="e">
        <f t="shared" si="6"/>
        <v>#DIV/0!</v>
      </c>
      <c r="M50" s="130">
        <f t="shared" si="7"/>
      </c>
      <c r="N50" s="131" t="e">
        <f t="shared" si="8"/>
        <v>#DIV/0!</v>
      </c>
    </row>
    <row r="51" spans="2:14" ht="12.75">
      <c r="B51" s="132"/>
      <c r="C51" s="138"/>
      <c r="D51" s="138"/>
      <c r="E51" s="138"/>
      <c r="F51" s="138"/>
      <c r="G51" s="154"/>
      <c r="H51" s="235"/>
      <c r="I51" s="168" t="s">
        <v>123</v>
      </c>
      <c r="J51" s="138">
        <f>COUNTIF('MG Data'!$R:$R,"Other")</f>
        <v>0</v>
      </c>
      <c r="K51" s="138">
        <f>SUMIF('MG Data'!$R:$R,"Other",'MG Data'!$AC:$AC)</f>
        <v>0</v>
      </c>
      <c r="L51" s="139" t="e">
        <f t="shared" si="6"/>
        <v>#DIV/0!</v>
      </c>
      <c r="M51" s="139">
        <f t="shared" si="7"/>
      </c>
      <c r="N51" s="140" t="e">
        <f t="shared" si="8"/>
        <v>#DIV/0!</v>
      </c>
    </row>
    <row r="52" spans="2:14" ht="12.75">
      <c r="B52" s="118" t="s">
        <v>126</v>
      </c>
      <c r="C52" s="119">
        <f>COUNTIF('MG Data'!$P:$P,"Return flow - aquaculture")</f>
        <v>0</v>
      </c>
      <c r="D52" s="119">
        <f>SUMIF('MG Data'!$P:$P,"Return flow - aquaculture",'MG Data'!$AC:$AC)</f>
        <v>0</v>
      </c>
      <c r="E52" s="120" t="e">
        <f>C52/$E$6</f>
        <v>#DIV/0!</v>
      </c>
      <c r="F52" s="120">
        <f>IF(C52=0,"",D52/C52)</f>
      </c>
      <c r="G52" s="153" t="e">
        <f>IF(E52=0,"",F52*E52)</f>
        <v>#DIV/0!</v>
      </c>
      <c r="H52" s="221"/>
      <c r="I52" s="218"/>
      <c r="J52" s="192"/>
      <c r="K52" s="192"/>
      <c r="L52" s="192"/>
      <c r="M52" s="192"/>
      <c r="N52" s="193"/>
    </row>
    <row r="53" spans="2:14" ht="12.75">
      <c r="B53" s="124" t="s">
        <v>33</v>
      </c>
      <c r="C53" s="129">
        <f>COUNTIF('MG Data'!$P:$P,"Algae bloom")</f>
        <v>0</v>
      </c>
      <c r="D53" s="129">
        <f>SUMIF('MG Data'!$P:$P,"Algae bloom",'MG Data'!$AC:$AC)</f>
        <v>0</v>
      </c>
      <c r="E53" s="130" t="e">
        <f>C53/$E$6</f>
        <v>#DIV/0!</v>
      </c>
      <c r="F53" s="130">
        <f>IF(C53=0,"",D53/C53)</f>
      </c>
      <c r="G53" s="165" t="e">
        <f>IF(E53=0,"",F53*E53)</f>
        <v>#DIV/0!</v>
      </c>
      <c r="H53" s="222"/>
      <c r="I53" s="194"/>
      <c r="J53" s="224"/>
      <c r="K53" s="224"/>
      <c r="L53" s="224"/>
      <c r="M53" s="224"/>
      <c r="N53" s="196"/>
    </row>
    <row r="54" spans="2:14" ht="12.75">
      <c r="B54" s="124" t="s">
        <v>35</v>
      </c>
      <c r="C54" s="129">
        <f>COUNTIF('MG Data'!$P:$P,"Colour change")</f>
        <v>0</v>
      </c>
      <c r="D54" s="129">
        <f>SUMIF('MG Data'!$P:$P,"Colour change",'MG Data'!$AC:$AC)</f>
        <v>0</v>
      </c>
      <c r="E54" s="130" t="e">
        <f>C54/$E$6</f>
        <v>#DIV/0!</v>
      </c>
      <c r="F54" s="130">
        <f>IF(C54=0,"",D54/C54)</f>
      </c>
      <c r="G54" s="165" t="e">
        <f>IF(E54=0,"",F54*E54)</f>
        <v>#DIV/0!</v>
      </c>
      <c r="H54" s="222"/>
      <c r="I54" s="194"/>
      <c r="J54" s="224"/>
      <c r="K54" s="224"/>
      <c r="L54" s="224"/>
      <c r="M54" s="224"/>
      <c r="N54" s="196"/>
    </row>
    <row r="55" spans="2:14" ht="12.75">
      <c r="B55" s="124" t="s">
        <v>127</v>
      </c>
      <c r="C55" s="129">
        <f>COUNTIF('MG Data'!$P:$P,"Dead fish")</f>
        <v>0</v>
      </c>
      <c r="D55" s="129">
        <f>SUMIF('MG Data'!$P:$P,"Dead fish",'MG Data'!$AC:$AC)</f>
        <v>0</v>
      </c>
      <c r="E55" s="130" t="e">
        <f>C55/$E$6</f>
        <v>#DIV/0!</v>
      </c>
      <c r="F55" s="130">
        <f>IF(C55=0,"",D55/C55)</f>
      </c>
      <c r="G55" s="165" t="e">
        <f>IF(E55=0,"",F55*E55)</f>
        <v>#DIV/0!</v>
      </c>
      <c r="H55" s="222"/>
      <c r="I55" s="194"/>
      <c r="J55" s="224"/>
      <c r="K55" s="224"/>
      <c r="L55" s="224"/>
      <c r="M55" s="224"/>
      <c r="N55" s="196"/>
    </row>
    <row r="56" spans="2:14" ht="12.75">
      <c r="B56" s="132"/>
      <c r="C56" s="138"/>
      <c r="D56" s="138"/>
      <c r="E56" s="138"/>
      <c r="F56" s="138"/>
      <c r="G56" s="147"/>
      <c r="H56" s="235"/>
      <c r="I56" s="225"/>
      <c r="J56" s="226"/>
      <c r="K56" s="226"/>
      <c r="L56" s="226"/>
      <c r="M56" s="226"/>
      <c r="N56" s="227"/>
    </row>
    <row r="57" spans="2:14" ht="12.75">
      <c r="B57" s="112" t="s">
        <v>5</v>
      </c>
      <c r="C57" s="113"/>
      <c r="D57" s="113"/>
      <c r="E57" s="113"/>
      <c r="F57" s="113"/>
      <c r="G57" s="114"/>
      <c r="H57" s="169"/>
      <c r="I57" s="228"/>
      <c r="J57" s="226"/>
      <c r="K57" s="226"/>
      <c r="L57" s="226"/>
      <c r="M57" s="226"/>
      <c r="N57" s="227"/>
    </row>
    <row r="58" spans="2:14" ht="12.75">
      <c r="B58" s="118" t="s">
        <v>6</v>
      </c>
      <c r="C58" s="119">
        <f>COUNTIF('MG Data'!$S:$S,"Alien trees")</f>
        <v>0</v>
      </c>
      <c r="D58" s="119">
        <f>SUMIF('MG Data'!$S:$S,"Alien trees",'MG Data'!$AC:$AC)</f>
        <v>0</v>
      </c>
      <c r="E58" s="120" t="e">
        <f>C58/$E$6</f>
        <v>#DIV/0!</v>
      </c>
      <c r="F58" s="120">
        <f>IF(C58=0,"",D58/C58)</f>
      </c>
      <c r="G58" s="153" t="e">
        <f>IF(E58=0,"",F58*E58)</f>
        <v>#DIV/0!</v>
      </c>
      <c r="H58" s="221"/>
      <c r="I58" s="218"/>
      <c r="J58" s="192"/>
      <c r="K58" s="192"/>
      <c r="L58" s="192"/>
      <c r="M58" s="192"/>
      <c r="N58" s="193"/>
    </row>
    <row r="59" spans="2:14" ht="12.75">
      <c r="B59" s="124" t="s">
        <v>7</v>
      </c>
      <c r="C59" s="129">
        <f>COUNTIF('MG Data'!$S:$S,"Alien shrubs")</f>
        <v>0</v>
      </c>
      <c r="D59" s="129">
        <f>SUMIF('MG Data'!$S:$S,"Alien shrubs",'MG Data'!$AC:$AC)</f>
        <v>0</v>
      </c>
      <c r="E59" s="130" t="e">
        <f>C59/$E$6</f>
        <v>#DIV/0!</v>
      </c>
      <c r="F59" s="130">
        <f>IF(C59=0,"",D59/C59)</f>
      </c>
      <c r="G59" s="165" t="e">
        <f>IF(E59=0,"",F59*E59)</f>
        <v>#DIV/0!</v>
      </c>
      <c r="H59" s="222"/>
      <c r="I59" s="194"/>
      <c r="J59" s="224"/>
      <c r="K59" s="224"/>
      <c r="L59" s="224"/>
      <c r="M59" s="224"/>
      <c r="N59" s="196"/>
    </row>
    <row r="60" spans="2:14" ht="12.75">
      <c r="B60" s="124" t="s">
        <v>36</v>
      </c>
      <c r="C60" s="129">
        <f>COUNTIF('MG Data'!$S:$S,"Alien water plants")</f>
        <v>0</v>
      </c>
      <c r="D60" s="129">
        <f>SUMIF('MG Data'!$S:$S,"Alien water plants",'MG Data'!$AC:$AC)</f>
        <v>0</v>
      </c>
      <c r="E60" s="130" t="e">
        <f>C60/$E$6</f>
        <v>#DIV/0!</v>
      </c>
      <c r="F60" s="130">
        <f>IF(C60=0,"",D60/C60)</f>
      </c>
      <c r="G60" s="165" t="e">
        <f>IF(E60=0,"",F60*E60)</f>
        <v>#DIV/0!</v>
      </c>
      <c r="H60" s="222"/>
      <c r="I60" s="194"/>
      <c r="J60" s="224"/>
      <c r="K60" s="224"/>
      <c r="L60" s="224"/>
      <c r="M60" s="224"/>
      <c r="N60" s="196"/>
    </row>
    <row r="61" spans="2:14" ht="12.75">
      <c r="B61" s="124" t="s">
        <v>120</v>
      </c>
      <c r="C61" s="129">
        <f>COUNTIF('MG Data'!$S:$S,"Alien other")</f>
        <v>0</v>
      </c>
      <c r="D61" s="129">
        <f>SUMIF('MG Data'!$S:$S,"Alien other",'MG Data'!$AC:$AC)</f>
        <v>0</v>
      </c>
      <c r="E61" s="130" t="e">
        <f>C61/$E$6</f>
        <v>#DIV/0!</v>
      </c>
      <c r="F61" s="130">
        <f>IF(C61=0,"",D61/C61)</f>
      </c>
      <c r="G61" s="165" t="e">
        <f>IF(E61=0,"",F61*E61)</f>
        <v>#DIV/0!</v>
      </c>
      <c r="H61" s="222"/>
      <c r="I61" s="194"/>
      <c r="J61" s="224"/>
      <c r="K61" s="224"/>
      <c r="L61" s="224"/>
      <c r="M61" s="224"/>
      <c r="N61" s="196"/>
    </row>
    <row r="62" spans="2:14" ht="13.5" thickBot="1">
      <c r="B62" s="148"/>
      <c r="C62" s="149"/>
      <c r="D62" s="149"/>
      <c r="E62" s="149"/>
      <c r="F62" s="149"/>
      <c r="G62" s="150"/>
      <c r="H62" s="223"/>
      <c r="I62" s="191"/>
      <c r="J62" s="219"/>
      <c r="K62" s="219"/>
      <c r="L62" s="219"/>
      <c r="M62" s="219"/>
      <c r="N62" s="220"/>
    </row>
    <row r="63" spans="2:14" ht="12.75">
      <c r="B63" s="112" t="s">
        <v>17</v>
      </c>
      <c r="C63" s="113"/>
      <c r="D63" s="113"/>
      <c r="E63" s="113"/>
      <c r="F63" s="113"/>
      <c r="G63" s="114"/>
      <c r="H63" s="170"/>
      <c r="I63" s="215"/>
      <c r="J63" s="216"/>
      <c r="K63" s="216"/>
      <c r="L63" s="216"/>
      <c r="M63" s="216"/>
      <c r="N63" s="217"/>
    </row>
    <row r="64" spans="2:14" ht="12.75">
      <c r="B64" s="118" t="s">
        <v>8</v>
      </c>
      <c r="C64" s="119">
        <f>COUNTIF('MG Data'!$X:$X,"Grazing")</f>
        <v>0</v>
      </c>
      <c r="D64" s="119">
        <f>SUMIF('MG Data'!$X:$X,"Grazing",'MG Data'!$AC:$AC)</f>
        <v>0</v>
      </c>
      <c r="E64" s="120" t="e">
        <f aca="true" t="shared" si="9" ref="E64:E69">C64/$E$6</f>
        <v>#DIV/0!</v>
      </c>
      <c r="F64" s="120">
        <f aca="true" t="shared" si="10" ref="F64:F69">IF(C64=0,"",D64/C64)</f>
      </c>
      <c r="G64" s="153" t="e">
        <f aca="true" t="shared" si="11" ref="G64:G69">IF(E64=0,"",F64*E64)</f>
        <v>#DIV/0!</v>
      </c>
      <c r="H64" s="221"/>
      <c r="I64" s="218"/>
      <c r="J64" s="192"/>
      <c r="K64" s="192"/>
      <c r="L64" s="192"/>
      <c r="M64" s="192"/>
      <c r="N64" s="193"/>
    </row>
    <row r="65" spans="2:14" ht="12.75">
      <c r="B65" s="124" t="s">
        <v>143</v>
      </c>
      <c r="C65" s="129">
        <f>COUNTIF('MG Data'!$X:$X,"Clearing - alien vegetation")</f>
        <v>0</v>
      </c>
      <c r="D65" s="129">
        <f>SUMIF('MG Data'!$X:$X,"Clearing - alien vegetation",'MG Data'!$AC:$AC)</f>
        <v>0</v>
      </c>
      <c r="E65" s="130" t="e">
        <f t="shared" si="9"/>
        <v>#DIV/0!</v>
      </c>
      <c r="F65" s="130">
        <f t="shared" si="10"/>
      </c>
      <c r="G65" s="165" t="e">
        <f t="shared" si="11"/>
        <v>#DIV/0!</v>
      </c>
      <c r="H65" s="222"/>
      <c r="I65" s="194"/>
      <c r="J65" s="195"/>
      <c r="K65" s="195"/>
      <c r="L65" s="195"/>
      <c r="M65" s="195"/>
      <c r="N65" s="196"/>
    </row>
    <row r="66" spans="2:14" ht="12.75">
      <c r="B66" s="124" t="s">
        <v>144</v>
      </c>
      <c r="C66" s="129">
        <f>COUNTIF('MG Data'!$X:$X,"Clearing - natural vegetation")</f>
        <v>0</v>
      </c>
      <c r="D66" s="129">
        <f>SUMIF('MG Data'!$X:$X,"Clearing - natural vegetation",'MG Data'!$AC:$AC)</f>
        <v>0</v>
      </c>
      <c r="E66" s="130" t="e">
        <f t="shared" si="9"/>
        <v>#DIV/0!</v>
      </c>
      <c r="F66" s="130">
        <f t="shared" si="10"/>
      </c>
      <c r="G66" s="165" t="e">
        <f t="shared" si="11"/>
        <v>#DIV/0!</v>
      </c>
      <c r="H66" s="222"/>
      <c r="I66" s="194"/>
      <c r="J66" s="195"/>
      <c r="K66" s="195"/>
      <c r="L66" s="195"/>
      <c r="M66" s="195"/>
      <c r="N66" s="196"/>
    </row>
    <row r="67" spans="2:14" ht="12.75">
      <c r="B67" s="124" t="s">
        <v>121</v>
      </c>
      <c r="C67" s="129">
        <f>COUNTIF('MG Data'!$X:$X,"Logging")</f>
        <v>0</v>
      </c>
      <c r="D67" s="129">
        <f>SUMIF('MG Data'!$X:$X,"Logging",'MG Data'!$AC:$AC)</f>
        <v>0</v>
      </c>
      <c r="E67" s="130" t="e">
        <f t="shared" si="9"/>
        <v>#DIV/0!</v>
      </c>
      <c r="F67" s="130">
        <f t="shared" si="10"/>
      </c>
      <c r="G67" s="165" t="e">
        <f t="shared" si="11"/>
        <v>#DIV/0!</v>
      </c>
      <c r="H67" s="222"/>
      <c r="I67" s="194"/>
      <c r="J67" s="195"/>
      <c r="K67" s="195"/>
      <c r="L67" s="195"/>
      <c r="M67" s="195"/>
      <c r="N67" s="196"/>
    </row>
    <row r="68" spans="2:14" ht="12.75">
      <c r="B68" s="124" t="s">
        <v>113</v>
      </c>
      <c r="C68" s="129">
        <f>COUNTIF('MG Data'!$X:$X,"Wood")</f>
        <v>0</v>
      </c>
      <c r="D68" s="129">
        <f>SUMIF('MG Data'!$X:$X,"Wood",'MG Data'!$AC:$AC)</f>
        <v>0</v>
      </c>
      <c r="E68" s="130" t="e">
        <f t="shared" si="9"/>
        <v>#DIV/0!</v>
      </c>
      <c r="F68" s="130">
        <f t="shared" si="10"/>
      </c>
      <c r="G68" s="165" t="e">
        <f t="shared" si="11"/>
        <v>#DIV/0!</v>
      </c>
      <c r="H68" s="222"/>
      <c r="I68" s="194"/>
      <c r="J68" s="195"/>
      <c r="K68" s="195"/>
      <c r="L68" s="195"/>
      <c r="M68" s="195"/>
      <c r="N68" s="196"/>
    </row>
    <row r="69" spans="2:14" ht="12.75">
      <c r="B69" s="124" t="s">
        <v>112</v>
      </c>
      <c r="C69" s="129">
        <f>COUNTIF('MG Data'!$X:$X,"Trampling")</f>
        <v>0</v>
      </c>
      <c r="D69" s="129">
        <f>SUMIF('MG Data'!$X:$X,"Trampling",'MG Data'!$AC:$AC)</f>
        <v>0</v>
      </c>
      <c r="E69" s="130" t="e">
        <f t="shared" si="9"/>
        <v>#DIV/0!</v>
      </c>
      <c r="F69" s="130">
        <f t="shared" si="10"/>
      </c>
      <c r="G69" s="142" t="e">
        <f t="shared" si="11"/>
        <v>#DIV/0!</v>
      </c>
      <c r="H69" s="222"/>
      <c r="I69" s="194"/>
      <c r="J69" s="195"/>
      <c r="K69" s="195"/>
      <c r="L69" s="195"/>
      <c r="M69" s="195"/>
      <c r="N69" s="196"/>
    </row>
    <row r="70" spans="2:14" ht="13.5" thickBot="1">
      <c r="B70" s="148"/>
      <c r="C70" s="149"/>
      <c r="D70" s="149"/>
      <c r="E70" s="149"/>
      <c r="F70" s="149"/>
      <c r="G70" s="150"/>
      <c r="H70" s="223"/>
      <c r="I70" s="191"/>
      <c r="J70" s="219"/>
      <c r="K70" s="219"/>
      <c r="L70" s="219"/>
      <c r="M70" s="219"/>
      <c r="N70" s="220"/>
    </row>
    <row r="71" spans="2:14" ht="12.75">
      <c r="B71" s="112" t="s">
        <v>48</v>
      </c>
      <c r="C71" s="113"/>
      <c r="D71" s="113"/>
      <c r="E71" s="113"/>
      <c r="F71" s="113"/>
      <c r="G71" s="114"/>
      <c r="H71" s="170"/>
      <c r="I71" s="171"/>
      <c r="J71" s="172"/>
      <c r="K71" s="172"/>
      <c r="L71" s="173"/>
      <c r="M71" s="172"/>
      <c r="N71" s="174"/>
    </row>
    <row r="72" spans="2:14" ht="12.75">
      <c r="B72" s="118" t="s">
        <v>145</v>
      </c>
      <c r="C72" s="119">
        <f>COUNTIF('MG Data'!$Y:$Y,"Irrigated")</f>
        <v>0</v>
      </c>
      <c r="D72" s="119">
        <f>SUMIF('MG Data'!$Y:$Y,"Irrigated",'MG Data'!$AC:$AC)</f>
        <v>0</v>
      </c>
      <c r="E72" s="120" t="e">
        <f>C72/$E$6</f>
        <v>#DIV/0!</v>
      </c>
      <c r="F72" s="120">
        <f>IF(C72=0,"",D72/C72)</f>
      </c>
      <c r="G72" s="153" t="e">
        <f>IF(E72=0,"",F72*E72)</f>
        <v>#DIV/0!</v>
      </c>
      <c r="H72" s="221"/>
      <c r="I72" s="218"/>
      <c r="J72" s="192"/>
      <c r="K72" s="192"/>
      <c r="L72" s="192"/>
      <c r="M72" s="192"/>
      <c r="N72" s="193"/>
    </row>
    <row r="73" spans="2:14" ht="12.75">
      <c r="B73" s="124" t="s">
        <v>46</v>
      </c>
      <c r="C73" s="129">
        <f>COUNTIF('MG Data'!$Y:$Y,"Dry land")</f>
        <v>0</v>
      </c>
      <c r="D73" s="129">
        <f>SUMIF('MG Data'!$Y:$Y,"Dry land",'MG Data'!$AC:$AC)</f>
        <v>0</v>
      </c>
      <c r="E73" s="130" t="e">
        <f>C73/$E$6</f>
        <v>#DIV/0!</v>
      </c>
      <c r="F73" s="130">
        <f>IF(C73=0,"",D73/C73)</f>
      </c>
      <c r="G73" s="165" t="e">
        <f>IF(E73=0,"",F73*E73)</f>
        <v>#DIV/0!</v>
      </c>
      <c r="H73" s="222"/>
      <c r="I73" s="194"/>
      <c r="J73" s="195"/>
      <c r="K73" s="195"/>
      <c r="L73" s="195"/>
      <c r="M73" s="195"/>
      <c r="N73" s="196"/>
    </row>
    <row r="74" spans="2:14" ht="12.75">
      <c r="B74" s="124" t="s">
        <v>122</v>
      </c>
      <c r="C74" s="129">
        <f>COUNTIF('MG Data'!$Y:$Y,"Fallow land")</f>
        <v>0</v>
      </c>
      <c r="D74" s="129">
        <f>SUMIF('MG Data'!$Y:$Y,"Fallow land",'MG Data'!$AC:$AC)</f>
        <v>0</v>
      </c>
      <c r="E74" s="130" t="e">
        <f>C74/$E$6</f>
        <v>#DIV/0!</v>
      </c>
      <c r="F74" s="130">
        <f>IF(C74=0,"",D74/C74)</f>
      </c>
      <c r="G74" s="165" t="e">
        <f>IF(E74=0,"",F74*E74)</f>
        <v>#DIV/0!</v>
      </c>
      <c r="H74" s="222"/>
      <c r="I74" s="194"/>
      <c r="J74" s="195"/>
      <c r="K74" s="195"/>
      <c r="L74" s="195"/>
      <c r="M74" s="195"/>
      <c r="N74" s="196"/>
    </row>
    <row r="75" spans="2:14" ht="12.75">
      <c r="B75" s="124" t="s">
        <v>24</v>
      </c>
      <c r="C75" s="129">
        <f>COUNTIF('MG Data'!$Y:$Y,"Forestry")</f>
        <v>0</v>
      </c>
      <c r="D75" s="129">
        <f>SUMIF('MG Data'!$Y:$Y,"Forestry",'MG Data'!$AC:$AC)</f>
        <v>0</v>
      </c>
      <c r="E75" s="130" t="e">
        <f>C75/$E$6</f>
        <v>#DIV/0!</v>
      </c>
      <c r="F75" s="130">
        <f>IF(C75=0,"",D75/C75)</f>
      </c>
      <c r="G75" s="165" t="e">
        <f>IF(E75=0,"",F75*E75)</f>
        <v>#DIV/0!</v>
      </c>
      <c r="H75" s="222"/>
      <c r="I75" s="194"/>
      <c r="J75" s="195"/>
      <c r="K75" s="195"/>
      <c r="L75" s="195"/>
      <c r="M75" s="195"/>
      <c r="N75" s="196"/>
    </row>
    <row r="76" spans="2:14" ht="13.5" thickBot="1">
      <c r="B76" s="148"/>
      <c r="C76" s="149"/>
      <c r="D76" s="149"/>
      <c r="E76" s="149"/>
      <c r="F76" s="149"/>
      <c r="G76" s="150"/>
      <c r="H76" s="223"/>
      <c r="I76" s="191"/>
      <c r="J76" s="219"/>
      <c r="K76" s="219"/>
      <c r="L76" s="219"/>
      <c r="M76" s="219"/>
      <c r="N76" s="220"/>
    </row>
    <row r="77" spans="2:14" ht="12.75">
      <c r="B77" s="112" t="s">
        <v>29</v>
      </c>
      <c r="C77" s="113"/>
      <c r="D77" s="113"/>
      <c r="E77" s="113"/>
      <c r="F77" s="113"/>
      <c r="G77" s="114"/>
      <c r="H77" s="166"/>
      <c r="I77" s="215"/>
      <c r="J77" s="216"/>
      <c r="K77" s="216"/>
      <c r="L77" s="216"/>
      <c r="M77" s="216"/>
      <c r="N77" s="217"/>
    </row>
    <row r="78" spans="2:14" ht="12.75">
      <c r="B78" s="118" t="s">
        <v>43</v>
      </c>
      <c r="C78" s="119">
        <f>COUNTIF('MG Data'!$Z:$Z,"Bank")</f>
        <v>0</v>
      </c>
      <c r="D78" s="119">
        <f>SUMIF('MG Data'!$Z:$Z,"Bank",'MG Data'!$AC:$AC)</f>
        <v>0</v>
      </c>
      <c r="E78" s="120" t="e">
        <f>C78/$E$6</f>
        <v>#DIV/0!</v>
      </c>
      <c r="F78" s="120">
        <f>IF(C78=0,"",D78/C78)</f>
      </c>
      <c r="G78" s="153" t="e">
        <f>IF(E78=0,"",F78*E78)</f>
        <v>#DIV/0!</v>
      </c>
      <c r="H78" s="221"/>
      <c r="I78" s="218"/>
      <c r="J78" s="192"/>
      <c r="K78" s="192"/>
      <c r="L78" s="192"/>
      <c r="M78" s="192"/>
      <c r="N78" s="193"/>
    </row>
    <row r="79" spans="2:14" ht="12.75">
      <c r="B79" s="124" t="s">
        <v>39</v>
      </c>
      <c r="C79" s="129">
        <f>COUNTIF('MG Data'!$Z:$Z,"Riparian zone")</f>
        <v>0</v>
      </c>
      <c r="D79" s="129">
        <f>SUMIF('MG Data'!$Z:$Z,"Riparian zone",'MG Data'!$AC:$AC)</f>
        <v>0</v>
      </c>
      <c r="E79" s="130" t="e">
        <f>C79/$E$6</f>
        <v>#DIV/0!</v>
      </c>
      <c r="F79" s="130">
        <f>IF(C79=0,"",D79/C79)</f>
      </c>
      <c r="G79" s="165" t="e">
        <f>IF(E79=0,"",F79*E79)</f>
        <v>#DIV/0!</v>
      </c>
      <c r="H79" s="222"/>
      <c r="I79" s="194"/>
      <c r="J79" s="224"/>
      <c r="K79" s="224"/>
      <c r="L79" s="224"/>
      <c r="M79" s="224"/>
      <c r="N79" s="196"/>
    </row>
    <row r="80" spans="2:14" ht="12.75">
      <c r="B80" s="124" t="s">
        <v>40</v>
      </c>
      <c r="C80" s="129">
        <f>COUNTIF('MG Data'!$Z:$Z,"Bank &amp; riparian zone")</f>
        <v>0</v>
      </c>
      <c r="D80" s="129">
        <f>SUMIF('MG Data'!$Z:$Z,"Bank &amp; riparian zone",'MG Data'!$AC:$AC)</f>
        <v>0</v>
      </c>
      <c r="E80" s="130" t="e">
        <f>C80/$E$6</f>
        <v>#DIV/0!</v>
      </c>
      <c r="F80" s="130">
        <f>IF(C80=0,"",D80/C80)</f>
      </c>
      <c r="G80" s="165" t="e">
        <f>IF(E80=0,"",F80*E80)</f>
        <v>#DIV/0!</v>
      </c>
      <c r="H80" s="222"/>
      <c r="I80" s="194"/>
      <c r="J80" s="224"/>
      <c r="K80" s="224"/>
      <c r="L80" s="224"/>
      <c r="M80" s="224"/>
      <c r="N80" s="196"/>
    </row>
    <row r="81" spans="2:14" ht="12.75">
      <c r="B81" s="124" t="s">
        <v>125</v>
      </c>
      <c r="C81" s="129">
        <f>COUNTIF('MG Data'!$Z:$Z,"Catchment")</f>
        <v>0</v>
      </c>
      <c r="D81" s="129">
        <f>SUMIF('MG Data'!$Z:$Z,"Catchment",'MG Data'!$AC:$AC)</f>
        <v>0</v>
      </c>
      <c r="E81" s="130" t="e">
        <f>C81/$E$6</f>
        <v>#DIV/0!</v>
      </c>
      <c r="F81" s="130">
        <f>IF(C81=0,"",D81/C81)</f>
      </c>
      <c r="G81" s="165" t="e">
        <f>IF(E81=0,"",F81*E81)</f>
        <v>#DIV/0!</v>
      </c>
      <c r="H81" s="222"/>
      <c r="I81" s="194"/>
      <c r="J81" s="224"/>
      <c r="K81" s="224"/>
      <c r="L81" s="224"/>
      <c r="M81" s="224"/>
      <c r="N81" s="196"/>
    </row>
    <row r="82" spans="2:14" ht="12.75">
      <c r="B82" s="124" t="s">
        <v>146</v>
      </c>
      <c r="C82" s="129">
        <f>COUNTIF('MG Data'!$Z:$Z,"Stabilizing structure")</f>
        <v>0</v>
      </c>
      <c r="D82" s="129">
        <f>SUMIF('MG Data'!$Z:$Z,"Stabilizing structure",'MG Data'!$AC:$AC)</f>
        <v>0</v>
      </c>
      <c r="E82" s="130" t="e">
        <f>C82/$E$6</f>
        <v>#DIV/0!</v>
      </c>
      <c r="F82" s="130">
        <f>IF(C82=0,"",D82/C82)</f>
      </c>
      <c r="G82" s="165" t="e">
        <f>IF(E82=0,"",F82*E82)</f>
        <v>#DIV/0!</v>
      </c>
      <c r="H82" s="222"/>
      <c r="I82" s="194"/>
      <c r="J82" s="224"/>
      <c r="K82" s="224"/>
      <c r="L82" s="224"/>
      <c r="M82" s="224"/>
      <c r="N82" s="196"/>
    </row>
    <row r="83" spans="2:14" ht="13.5" thickBot="1">
      <c r="B83" s="148"/>
      <c r="C83" s="149"/>
      <c r="D83" s="149"/>
      <c r="E83" s="149"/>
      <c r="F83" s="149"/>
      <c r="G83" s="150"/>
      <c r="H83" s="223"/>
      <c r="I83" s="191"/>
      <c r="J83" s="219"/>
      <c r="K83" s="219"/>
      <c r="L83" s="219"/>
      <c r="M83" s="219"/>
      <c r="N83" s="220"/>
    </row>
    <row r="84" spans="2:14" ht="12.75">
      <c r="B84" s="112" t="s">
        <v>37</v>
      </c>
      <c r="C84" s="116"/>
      <c r="D84" s="113"/>
      <c r="E84" s="113"/>
      <c r="F84" s="113"/>
      <c r="G84" s="114"/>
      <c r="H84" s="166"/>
      <c r="I84" s="215"/>
      <c r="J84" s="216"/>
      <c r="K84" s="216"/>
      <c r="L84" s="216"/>
      <c r="M84" s="216"/>
      <c r="N84" s="217"/>
    </row>
    <row r="85" spans="2:14" ht="12.75">
      <c r="B85" s="118" t="s">
        <v>176</v>
      </c>
      <c r="C85" s="119">
        <f>COUNTIF('MG Data'!$AA:$AA,"River bed")</f>
        <v>0</v>
      </c>
      <c r="D85" s="119">
        <f>SUMIF('MG Data'!$AA:$AA,"River bed",'MG Data'!$AC:$AC)</f>
        <v>0</v>
      </c>
      <c r="E85" s="120" t="e">
        <f>C85/$E$6</f>
        <v>#DIV/0!</v>
      </c>
      <c r="F85" s="120">
        <f>IF(C85=0,"",D85/C85)</f>
      </c>
      <c r="G85" s="153" t="e">
        <f>IF(E85=0,"",F85*E85)</f>
        <v>#DIV/0!</v>
      </c>
      <c r="H85" s="221"/>
      <c r="I85" s="218"/>
      <c r="J85" s="192"/>
      <c r="K85" s="192"/>
      <c r="L85" s="192"/>
      <c r="M85" s="192"/>
      <c r="N85" s="193"/>
    </row>
    <row r="86" spans="2:14" ht="12.75">
      <c r="B86" s="124" t="s">
        <v>50</v>
      </c>
      <c r="C86" s="129">
        <f>COUNTIF('MG Data'!$AA:$AA,"In riparian zone")</f>
        <v>0</v>
      </c>
      <c r="D86" s="129">
        <f>SUMIF('MG Data'!$AA:$AA,"In riparian zone",'MG Data'!$AC:$AC)</f>
        <v>0</v>
      </c>
      <c r="E86" s="130" t="e">
        <f>C86/$E$6</f>
        <v>#DIV/0!</v>
      </c>
      <c r="F86" s="130">
        <f>IF(C86=0,"",D86/C86)</f>
      </c>
      <c r="G86" s="165" t="e">
        <f>IF(E86=0,"",F86*E86)</f>
        <v>#DIV/0!</v>
      </c>
      <c r="H86" s="222"/>
      <c r="I86" s="194"/>
      <c r="J86" s="224"/>
      <c r="K86" s="224"/>
      <c r="L86" s="224"/>
      <c r="M86" s="224"/>
      <c r="N86" s="196"/>
    </row>
    <row r="87" spans="2:14" ht="12.75">
      <c r="B87" s="124" t="s">
        <v>49</v>
      </c>
      <c r="C87" s="129">
        <f>COUNTIF('MG Data'!$AA:$AA,"Outside riparian zone")</f>
        <v>0</v>
      </c>
      <c r="D87" s="129">
        <f>SUMIF('MG Data'!$AA:$AA,"Outside riparian zone",'MG Data'!$AC:$AC)</f>
        <v>0</v>
      </c>
      <c r="E87" s="130" t="e">
        <f>C87/$E$6</f>
        <v>#DIV/0!</v>
      </c>
      <c r="F87" s="130">
        <f>IF(C87=0,"",D87/C87)</f>
      </c>
      <c r="G87" s="165" t="e">
        <f>IF(E87=0,"",F87*E87)</f>
        <v>#DIV/0!</v>
      </c>
      <c r="H87" s="222"/>
      <c r="I87" s="194"/>
      <c r="J87" s="224"/>
      <c r="K87" s="224"/>
      <c r="L87" s="224"/>
      <c r="M87" s="224"/>
      <c r="N87" s="196"/>
    </row>
    <row r="88" spans="2:14" ht="13.5" thickBot="1">
      <c r="B88" s="175"/>
      <c r="C88" s="176"/>
      <c r="D88" s="176"/>
      <c r="E88" s="176"/>
      <c r="F88" s="176"/>
      <c r="G88" s="177"/>
      <c r="H88" s="232"/>
      <c r="I88" s="229"/>
      <c r="J88" s="230"/>
      <c r="K88" s="230"/>
      <c r="L88" s="230"/>
      <c r="M88" s="230"/>
      <c r="N88" s="231"/>
    </row>
    <row r="89" ht="13.5" thickTop="1"/>
    <row r="90" ht="12.75">
      <c r="B90" s="41" t="s">
        <v>153</v>
      </c>
    </row>
    <row r="91" ht="12.75">
      <c r="B91" s="41" t="s">
        <v>151</v>
      </c>
    </row>
    <row r="92" ht="12.75">
      <c r="B92" s="41" t="s">
        <v>152</v>
      </c>
    </row>
    <row r="93" ht="12.75">
      <c r="B93" s="42"/>
    </row>
  </sheetData>
  <sheetProtection password="B999" sheet="1" objects="1" scenarios="1" selectLockedCells="1"/>
  <mergeCells count="31">
    <mergeCell ref="I43:N44"/>
    <mergeCell ref="H13:H14"/>
    <mergeCell ref="H15:H17"/>
    <mergeCell ref="H18:H22"/>
    <mergeCell ref="H23:H25"/>
    <mergeCell ref="I23:N25"/>
    <mergeCell ref="E2:H2"/>
    <mergeCell ref="H9:H12"/>
    <mergeCell ref="H52:H56"/>
    <mergeCell ref="H48:H51"/>
    <mergeCell ref="H46:H47"/>
    <mergeCell ref="H27:H29"/>
    <mergeCell ref="H31:H35"/>
    <mergeCell ref="H36:H40"/>
    <mergeCell ref="H41:H42"/>
    <mergeCell ref="H43:H44"/>
    <mergeCell ref="I85:N88"/>
    <mergeCell ref="I78:N83"/>
    <mergeCell ref="H78:H83"/>
    <mergeCell ref="H85:H88"/>
    <mergeCell ref="I84:N84"/>
    <mergeCell ref="I77:N77"/>
    <mergeCell ref="I64:N70"/>
    <mergeCell ref="H64:H70"/>
    <mergeCell ref="I52:N56"/>
    <mergeCell ref="I57:N57"/>
    <mergeCell ref="I58:N62"/>
    <mergeCell ref="H58:H62"/>
    <mergeCell ref="I63:N63"/>
    <mergeCell ref="I72:N76"/>
    <mergeCell ref="H72:H76"/>
  </mergeCells>
  <printOptions/>
  <pageMargins left="0.75" right="0.75" top="1" bottom="1" header="0.5" footer="0.5"/>
  <pageSetup fitToHeight="1" fitToWidth="1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27"/>
  <sheetViews>
    <sheetView workbookViewId="0" topLeftCell="A1">
      <selection activeCell="C69" sqref="C69"/>
    </sheetView>
  </sheetViews>
  <sheetFormatPr defaultColWidth="9.140625" defaultRowHeight="12.75"/>
  <cols>
    <col min="1" max="1" width="2.8515625" style="0" customWidth="1"/>
    <col min="2" max="2" width="37.140625" style="0" customWidth="1"/>
    <col min="3" max="3" width="15.8515625" style="6" customWidth="1"/>
    <col min="4" max="4" width="19.7109375" style="0" customWidth="1"/>
    <col min="5" max="5" width="9.28125" style="0" customWidth="1"/>
  </cols>
  <sheetData>
    <row r="2" spans="2:3" ht="12.75">
      <c r="B2" s="5" t="s">
        <v>10</v>
      </c>
      <c r="C2" s="180">
        <f>Impacts!$E$2</f>
        <v>0</v>
      </c>
    </row>
    <row r="3" ht="12.75">
      <c r="C3" s="180"/>
    </row>
    <row r="4" spans="2:3" ht="12.75">
      <c r="B4" s="5" t="s">
        <v>11</v>
      </c>
      <c r="C4" s="180">
        <f>Impacts!$E$4</f>
        <v>0</v>
      </c>
    </row>
    <row r="5" ht="12.75">
      <c r="C5" s="180"/>
    </row>
    <row r="6" spans="2:3" ht="12.75">
      <c r="B6" s="5" t="s">
        <v>9</v>
      </c>
      <c r="C6" s="180">
        <f>Impacts!$E$6</f>
        <v>0</v>
      </c>
    </row>
    <row r="7" ht="12.75">
      <c r="B7" s="5"/>
    </row>
    <row r="8" ht="12.75">
      <c r="B8" s="5"/>
    </row>
    <row r="9" ht="13.5" thickBot="1">
      <c r="B9" s="5" t="s">
        <v>20</v>
      </c>
    </row>
    <row r="10" spans="2:3" ht="14.25" thickBot="1" thickTop="1">
      <c r="B10" s="38"/>
      <c r="C10" s="10" t="s">
        <v>18</v>
      </c>
    </row>
    <row r="11" spans="2:3" ht="12.75">
      <c r="B11" s="51" t="s">
        <v>32</v>
      </c>
      <c r="C11" s="11" t="e">
        <f>Impacts!$G$10</f>
        <v>#DIV/0!</v>
      </c>
    </row>
    <row r="12" spans="2:3" ht="12.75">
      <c r="B12" s="52" t="s">
        <v>31</v>
      </c>
      <c r="C12" s="11" t="e">
        <f>Impacts!$G$13</f>
        <v>#DIV/0!</v>
      </c>
    </row>
    <row r="13" spans="2:3" ht="12.75">
      <c r="B13" s="53" t="s">
        <v>12</v>
      </c>
      <c r="C13" s="11" t="e">
        <f>Impacts!$G$15</f>
        <v>#DIV/0!</v>
      </c>
    </row>
    <row r="14" spans="2:3" ht="12.75">
      <c r="B14" s="54" t="s">
        <v>160</v>
      </c>
      <c r="C14" s="21"/>
    </row>
    <row r="15" spans="2:3" ht="12.75">
      <c r="B15" s="55" t="s">
        <v>161</v>
      </c>
      <c r="C15" s="17" t="e">
        <f>Impacts!$N$18</f>
        <v>#DIV/0!</v>
      </c>
    </row>
    <row r="16" spans="2:3" ht="12.75">
      <c r="B16" s="55" t="s">
        <v>162</v>
      </c>
      <c r="C16" s="17" t="e">
        <f>Impacts!$N$19</f>
        <v>#DIV/0!</v>
      </c>
    </row>
    <row r="17" spans="2:3" ht="12.75">
      <c r="B17" s="55" t="s">
        <v>163</v>
      </c>
      <c r="C17" s="17" t="e">
        <f>Impacts!$N$20</f>
        <v>#DIV/0!</v>
      </c>
    </row>
    <row r="18" spans="2:3" ht="12.75">
      <c r="B18" s="55" t="s">
        <v>64</v>
      </c>
      <c r="C18" s="17" t="e">
        <f>Impacts!$N$21</f>
        <v>#DIV/0!</v>
      </c>
    </row>
    <row r="19" spans="2:3" ht="12.75">
      <c r="B19" s="52" t="s">
        <v>164</v>
      </c>
      <c r="C19" s="11" t="e">
        <f>Impacts!$N$22</f>
        <v>#DIV/0!</v>
      </c>
    </row>
    <row r="20" spans="2:3" ht="12.75">
      <c r="B20" s="53" t="s">
        <v>13</v>
      </c>
      <c r="C20" s="11" t="e">
        <f>Impacts!$G$24</f>
        <v>#DIV/0!</v>
      </c>
    </row>
    <row r="21" spans="2:3" ht="12.75">
      <c r="B21" s="56" t="s">
        <v>14</v>
      </c>
      <c r="C21" s="11" t="e">
        <f>Impacts!$G$75</f>
        <v>#DIV/0!</v>
      </c>
    </row>
    <row r="22" spans="2:3" ht="12.75">
      <c r="B22" s="53" t="s">
        <v>15</v>
      </c>
      <c r="C22" s="11" t="e">
        <f>Impacts!$N$30</f>
        <v>#DIV/0!</v>
      </c>
    </row>
    <row r="23" spans="2:3" ht="12.75">
      <c r="B23" s="56" t="s">
        <v>55</v>
      </c>
      <c r="C23" s="11" t="e">
        <f>SUM(Impacts!$G$58:$G$61)</f>
        <v>#DIV/0!</v>
      </c>
    </row>
    <row r="24" spans="2:3" ht="12.75">
      <c r="B24" s="56" t="s">
        <v>4</v>
      </c>
      <c r="C24" s="11" t="e">
        <f>Impacts!$G$43</f>
        <v>#DIV/0!</v>
      </c>
    </row>
    <row r="25" spans="2:3" ht="12.75">
      <c r="B25" s="57" t="s">
        <v>56</v>
      </c>
      <c r="C25" s="48"/>
    </row>
    <row r="26" spans="1:3" ht="12.75">
      <c r="A26" s="15"/>
      <c r="B26" s="58" t="s">
        <v>158</v>
      </c>
      <c r="C26" s="17" t="e">
        <f>SUM(Impacts!$G$64,Impacts!$G$66,Impacts!$G$68,Impacts!$G$69)</f>
        <v>#DIV/0!</v>
      </c>
    </row>
    <row r="27" spans="2:3" ht="12.75">
      <c r="B27" s="59" t="s">
        <v>159</v>
      </c>
      <c r="C27" s="11" t="e">
        <f>SUM(Impacts!$G$65,Impacts!$G$67)</f>
        <v>#DIV/0!</v>
      </c>
    </row>
    <row r="28" spans="2:3" ht="13.5" thickBot="1">
      <c r="B28" s="39"/>
      <c r="C28" s="76"/>
    </row>
    <row r="29" ht="13.5" thickTop="1"/>
    <row r="30" ht="13.5" thickBot="1">
      <c r="B30" s="5" t="s">
        <v>21</v>
      </c>
    </row>
    <row r="31" spans="2:3" ht="14.25" thickBot="1" thickTop="1">
      <c r="B31" s="38"/>
      <c r="C31" s="10" t="s">
        <v>18</v>
      </c>
    </row>
    <row r="32" spans="2:3" ht="12.75">
      <c r="B32" s="60" t="s">
        <v>22</v>
      </c>
      <c r="C32" s="11" t="e">
        <f>SUM(Impacts!$N$10,Impacts!$N$11)</f>
        <v>#DIV/0!</v>
      </c>
    </row>
    <row r="33" spans="2:3" ht="12.75">
      <c r="B33" s="56" t="s">
        <v>23</v>
      </c>
      <c r="C33" s="11" t="e">
        <f>Impacts!$N$13</f>
        <v>#DIV/0!</v>
      </c>
    </row>
    <row r="34" spans="2:3" ht="12.75">
      <c r="B34" s="57" t="s">
        <v>165</v>
      </c>
      <c r="C34" s="21"/>
    </row>
    <row r="35" spans="2:3" ht="12.75">
      <c r="B35" s="61" t="s">
        <v>161</v>
      </c>
      <c r="C35" s="17" t="e">
        <f>Impacts!$N$18</f>
        <v>#DIV/0!</v>
      </c>
    </row>
    <row r="36" spans="2:3" ht="12.75">
      <c r="B36" s="61" t="s">
        <v>162</v>
      </c>
      <c r="C36" s="17" t="e">
        <f>Impacts!$N$19</f>
        <v>#DIV/0!</v>
      </c>
    </row>
    <row r="37" spans="2:3" ht="12.75">
      <c r="B37" s="61" t="s">
        <v>163</v>
      </c>
      <c r="C37" s="17" t="e">
        <f>Impacts!$N$20</f>
        <v>#DIV/0!</v>
      </c>
    </row>
    <row r="38" spans="2:3" ht="12.75">
      <c r="B38" s="61" t="s">
        <v>64</v>
      </c>
      <c r="C38" s="17" t="e">
        <f>Impacts!$N$21</f>
        <v>#DIV/0!</v>
      </c>
    </row>
    <row r="39" spans="2:3" ht="12.75">
      <c r="B39" s="52" t="s">
        <v>164</v>
      </c>
      <c r="C39" s="11" t="e">
        <f>Impacts!$N$22</f>
        <v>#DIV/0!</v>
      </c>
    </row>
    <row r="40" spans="1:3" ht="12.75">
      <c r="A40" s="15"/>
      <c r="B40" s="54" t="s">
        <v>57</v>
      </c>
      <c r="C40" s="48"/>
    </row>
    <row r="41" spans="1:3" ht="12.75">
      <c r="A41" s="15"/>
      <c r="B41" s="58" t="s">
        <v>59</v>
      </c>
      <c r="C41" s="17" t="e">
        <f>Impacts!$G$43</f>
        <v>#DIV/0!</v>
      </c>
    </row>
    <row r="42" spans="1:4" ht="12.75">
      <c r="A42" s="15"/>
      <c r="B42" s="58" t="s">
        <v>60</v>
      </c>
      <c r="C42" s="17" t="e">
        <f>Impacts!$G$53</f>
        <v>#DIV/0!</v>
      </c>
      <c r="D42" s="13"/>
    </row>
    <row r="43" spans="1:3" ht="12.75">
      <c r="A43" s="15"/>
      <c r="B43" s="59" t="s">
        <v>61</v>
      </c>
      <c r="C43" s="11" t="e">
        <f>Impacts!$G$60</f>
        <v>#DIV/0!</v>
      </c>
    </row>
    <row r="44" spans="2:3" ht="12.75">
      <c r="B44" s="60" t="s">
        <v>24</v>
      </c>
      <c r="C44" s="11" t="e">
        <f>Impacts!$G$75</f>
        <v>#DIV/0!</v>
      </c>
    </row>
    <row r="45" spans="2:3" ht="12.75">
      <c r="B45" s="56" t="s">
        <v>3</v>
      </c>
      <c r="C45" s="11" t="e">
        <f>Impacts!$N$30</f>
        <v>#DIV/0!</v>
      </c>
    </row>
    <row r="46" spans="2:3" ht="12.75">
      <c r="B46" s="104" t="s">
        <v>16</v>
      </c>
      <c r="C46" s="105" t="e">
        <f>SUM(Impacts!$G$58,Impacts!$G$59,Impacts!$G$61)</f>
        <v>#DIV/0!</v>
      </c>
    </row>
    <row r="47" spans="2:3" ht="12.75">
      <c r="B47" s="57" t="s">
        <v>56</v>
      </c>
      <c r="C47" s="48"/>
    </row>
    <row r="48" spans="2:3" ht="12.75">
      <c r="B48" s="58" t="s">
        <v>158</v>
      </c>
      <c r="C48" s="17" t="e">
        <f>SUM(Impacts!$G$64,Impacts!$G$66,Impacts!$G$68,Impacts!$G$69)</f>
        <v>#DIV/0!</v>
      </c>
    </row>
    <row r="49" spans="2:3" ht="12.75">
      <c r="B49" s="59" t="s">
        <v>159</v>
      </c>
      <c r="C49" s="11" t="e">
        <f>SUM(Impacts!$G$65,Impacts!$G$67)</f>
        <v>#DIV/0!</v>
      </c>
    </row>
    <row r="50" spans="2:3" ht="12.75">
      <c r="B50" s="62" t="s">
        <v>157</v>
      </c>
      <c r="C50" s="49" t="e">
        <f>Impacts!$G$31</f>
        <v>#DIV/0!</v>
      </c>
    </row>
    <row r="51" spans="2:3" ht="12.75">
      <c r="B51" s="62" t="s">
        <v>156</v>
      </c>
      <c r="C51" s="49" t="e">
        <f>Impacts!$G$36</f>
        <v>#DIV/0!</v>
      </c>
    </row>
    <row r="52" spans="2:3" ht="12.75">
      <c r="B52" s="60" t="s">
        <v>19</v>
      </c>
      <c r="C52" s="11" t="e">
        <f>Impacts!$N$46</f>
        <v>#DIV/0!</v>
      </c>
    </row>
    <row r="53" spans="2:3" ht="12.75">
      <c r="B53" s="60" t="s">
        <v>35</v>
      </c>
      <c r="C53" s="11" t="e">
        <f>Impacts!$G$54</f>
        <v>#DIV/0!</v>
      </c>
    </row>
    <row r="54" spans="2:3" ht="12.75">
      <c r="B54" s="56" t="s">
        <v>34</v>
      </c>
      <c r="C54" s="11" t="e">
        <f>Impacts!$G$48</f>
        <v>#DIV/0!</v>
      </c>
    </row>
    <row r="55" spans="2:3" ht="12.75">
      <c r="B55" s="56" t="s">
        <v>37</v>
      </c>
      <c r="C55" s="11" t="e">
        <f>Impacts!$G$85</f>
        <v>#DIV/0!</v>
      </c>
    </row>
    <row r="56" spans="1:3" ht="13.5" thickBot="1">
      <c r="A56" s="15"/>
      <c r="B56" s="63"/>
      <c r="C56" s="76"/>
    </row>
    <row r="57" ht="13.5" thickTop="1"/>
    <row r="58" ht="13.5" thickBot="1">
      <c r="B58" s="5" t="s">
        <v>25</v>
      </c>
    </row>
    <row r="59" spans="2:5" ht="14.25" thickBot="1" thickTop="1">
      <c r="B59" s="256"/>
      <c r="C59" s="254" t="s">
        <v>18</v>
      </c>
      <c r="D59" s="255"/>
      <c r="E59" s="24"/>
    </row>
    <row r="60" spans="2:5" ht="13.5" thickBot="1">
      <c r="B60" s="257"/>
      <c r="C60" s="64" t="s">
        <v>69</v>
      </c>
      <c r="D60" s="25" t="s">
        <v>70</v>
      </c>
      <c r="E60" s="24"/>
    </row>
    <row r="61" spans="2:5" ht="12.75">
      <c r="B61" s="65" t="s">
        <v>76</v>
      </c>
      <c r="C61" s="251"/>
      <c r="D61" s="74"/>
      <c r="E61" s="24"/>
    </row>
    <row r="62" spans="2:5" ht="12.75">
      <c r="B62" s="61" t="s">
        <v>80</v>
      </c>
      <c r="C62" s="252"/>
      <c r="D62" s="17" t="e">
        <f>Impacts!$N$19</f>
        <v>#DIV/0!</v>
      </c>
      <c r="E62" s="24"/>
    </row>
    <row r="63" spans="2:5" ht="12.75">
      <c r="B63" s="61" t="s">
        <v>81</v>
      </c>
      <c r="C63" s="252"/>
      <c r="D63" s="17" t="e">
        <f>Impacts!$G$52</f>
        <v>#DIV/0!</v>
      </c>
      <c r="E63" s="24"/>
    </row>
    <row r="64" spans="2:5" ht="12.75">
      <c r="B64" s="61" t="s">
        <v>82</v>
      </c>
      <c r="C64" s="252"/>
      <c r="D64" s="17" t="e">
        <f>Impacts!$N$48</f>
        <v>#DIV/0!</v>
      </c>
      <c r="E64" s="24"/>
    </row>
    <row r="65" spans="2:5" ht="12.75">
      <c r="B65" s="61" t="s">
        <v>83</v>
      </c>
      <c r="C65" s="252"/>
      <c r="D65" s="17" t="e">
        <f>Impacts!$N$49</f>
        <v>#DIV/0!</v>
      </c>
      <c r="E65" s="24"/>
    </row>
    <row r="66" spans="2:5" ht="12.75">
      <c r="B66" s="61" t="s">
        <v>166</v>
      </c>
      <c r="C66" s="252"/>
      <c r="D66" s="17" t="e">
        <f>Impacts!$N$50</f>
        <v>#DIV/0!</v>
      </c>
      <c r="E66" s="24"/>
    </row>
    <row r="67" spans="2:5" ht="12.75">
      <c r="B67" s="61" t="s">
        <v>60</v>
      </c>
      <c r="C67" s="253"/>
      <c r="D67" s="17" t="e">
        <f>Impacts!$G$53</f>
        <v>#DIV/0!</v>
      </c>
      <c r="E67" s="24"/>
    </row>
    <row r="68" spans="2:6" ht="12.75">
      <c r="B68" s="57" t="s">
        <v>68</v>
      </c>
      <c r="C68" s="50"/>
      <c r="D68" s="248"/>
      <c r="E68" s="24"/>
      <c r="F68" s="18"/>
    </row>
    <row r="69" spans="2:5" ht="12.75">
      <c r="B69" s="58" t="s">
        <v>63</v>
      </c>
      <c r="C69" s="50" t="e">
        <f>Impacts!$G$31</f>
        <v>#DIV/0!</v>
      </c>
      <c r="D69" s="249"/>
      <c r="E69" s="24"/>
    </row>
    <row r="70" spans="2:5" ht="12.75">
      <c r="B70" s="61" t="s">
        <v>64</v>
      </c>
      <c r="C70" s="28" t="e">
        <f>Impacts!$G$85</f>
        <v>#DIV/0!</v>
      </c>
      <c r="D70" s="249"/>
      <c r="E70" s="24"/>
    </row>
    <row r="71" spans="2:5" ht="12.75">
      <c r="B71" s="56" t="s">
        <v>19</v>
      </c>
      <c r="C71" s="27" t="e">
        <f>Impacts!$N$46</f>
        <v>#DIV/0!</v>
      </c>
      <c r="D71" s="249"/>
      <c r="E71" s="24"/>
    </row>
    <row r="72" spans="2:5" ht="12.75">
      <c r="B72" s="7" t="s">
        <v>26</v>
      </c>
      <c r="C72" s="28" t="e">
        <f>SUM(Impacts!$G$64,Impacts!$G$65,Impacts!$G$66,Impacts!$G$67,Impacts!$G$69)/5</f>
        <v>#DIV/0!</v>
      </c>
      <c r="D72" s="249"/>
      <c r="E72" s="18"/>
    </row>
    <row r="73" spans="2:4" ht="12.75">
      <c r="B73" s="7" t="s">
        <v>27</v>
      </c>
      <c r="C73" s="28" t="e">
        <f>SUM(Impacts!$N$41,Impacts!$G$43)/2</f>
        <v>#DIV/0!</v>
      </c>
      <c r="D73" s="249"/>
    </row>
    <row r="74" spans="2:4" ht="12.75">
      <c r="B74" s="14" t="s">
        <v>71</v>
      </c>
      <c r="C74" s="181" t="e">
        <f>SUM(C75:C78)/4</f>
        <v>#DIV/0!</v>
      </c>
      <c r="D74" s="249"/>
    </row>
    <row r="75" spans="1:4" ht="12.75">
      <c r="A75" s="15"/>
      <c r="B75" s="16" t="s">
        <v>72</v>
      </c>
      <c r="C75" s="26" t="e">
        <f>Impacts!$G$81</f>
        <v>#DIV/0!</v>
      </c>
      <c r="D75" s="249"/>
    </row>
    <row r="76" spans="1:4" ht="12.75">
      <c r="A76" s="15"/>
      <c r="B76" s="16" t="s">
        <v>73</v>
      </c>
      <c r="C76" s="26" t="e">
        <f>Impacts!$G$78</f>
        <v>#DIV/0!</v>
      </c>
      <c r="D76" s="249"/>
    </row>
    <row r="77" spans="1:4" ht="12.75">
      <c r="A77" s="15"/>
      <c r="B77" s="16" t="s">
        <v>74</v>
      </c>
      <c r="C77" s="26" t="e">
        <f>Impacts!$G$79</f>
        <v>#DIV/0!</v>
      </c>
      <c r="D77" s="249"/>
    </row>
    <row r="78" spans="2:4" ht="12.75">
      <c r="B78" s="9" t="s">
        <v>75</v>
      </c>
      <c r="C78" s="28" t="e">
        <f>Impacts!$G$80</f>
        <v>#DIV/0!</v>
      </c>
      <c r="D78" s="249"/>
    </row>
    <row r="79" spans="2:4" ht="12.75">
      <c r="B79" s="14" t="s">
        <v>77</v>
      </c>
      <c r="C79" s="181" t="e">
        <f>SUM(C80:C81)/2</f>
        <v>#DIV/0!</v>
      </c>
      <c r="D79" s="249"/>
    </row>
    <row r="80" spans="2:4" ht="12.75">
      <c r="B80" s="16" t="s">
        <v>78</v>
      </c>
      <c r="C80" s="26" t="e">
        <f>Impacts!$N$30</f>
        <v>#DIV/0!</v>
      </c>
      <c r="D80" s="249"/>
    </row>
    <row r="81" spans="2:4" ht="12.75">
      <c r="B81" s="9" t="s">
        <v>79</v>
      </c>
      <c r="C81" s="28" t="e">
        <f>Impacts!$N$27</f>
        <v>#DIV/0!</v>
      </c>
      <c r="D81" s="249"/>
    </row>
    <row r="82" spans="2:4" ht="13.5" thickBot="1">
      <c r="B82" s="8"/>
      <c r="C82" s="75"/>
      <c r="D82" s="250"/>
    </row>
    <row r="83" ht="13.5" thickTop="1"/>
    <row r="84" spans="2:4" ht="13.5" thickBot="1">
      <c r="B84" s="5" t="s">
        <v>28</v>
      </c>
      <c r="C84" s="20"/>
      <c r="D84" s="13"/>
    </row>
    <row r="85" spans="2:4" ht="14.25" thickBot="1" thickTop="1">
      <c r="B85" s="71"/>
      <c r="C85" s="34" t="s">
        <v>18</v>
      </c>
      <c r="D85" s="31"/>
    </row>
    <row r="86" spans="2:6" ht="12.75">
      <c r="B86" s="93" t="s">
        <v>84</v>
      </c>
      <c r="C86" s="92"/>
      <c r="D86" s="91"/>
      <c r="F86" s="18"/>
    </row>
    <row r="87" spans="2:6" ht="12.75">
      <c r="B87" s="77" t="s">
        <v>73</v>
      </c>
      <c r="C87" s="22" t="e">
        <f>Impacts!$G$78</f>
        <v>#DIV/0!</v>
      </c>
      <c r="D87" s="33"/>
      <c r="F87" s="13"/>
    </row>
    <row r="88" spans="2:4" ht="12.75">
      <c r="B88" s="61" t="s">
        <v>75</v>
      </c>
      <c r="C88" s="22" t="e">
        <f>Impacts!$G$80</f>
        <v>#DIV/0!</v>
      </c>
      <c r="D88" s="13"/>
    </row>
    <row r="89" spans="2:4" ht="12.75">
      <c r="B89" s="61" t="s">
        <v>74</v>
      </c>
      <c r="C89" s="22" t="e">
        <f>Impacts!$G$79</f>
        <v>#DIV/0!</v>
      </c>
      <c r="D89" s="13"/>
    </row>
    <row r="90" spans="2:4" ht="12.75">
      <c r="B90" s="61" t="s">
        <v>85</v>
      </c>
      <c r="C90" s="90" t="e">
        <f>SUM(Impacts!$G$64,Impacts!$G$65,Impacts!$G$66,Impacts!$G$67,Impacts!$G$69)</f>
        <v>#DIV/0!</v>
      </c>
      <c r="D90" s="102"/>
    </row>
    <row r="91" spans="2:4" ht="12.75">
      <c r="B91" s="60" t="s">
        <v>86</v>
      </c>
      <c r="C91" s="23" t="e">
        <f>SUM(Impacts!$G$72:$G$75)</f>
        <v>#DIV/0!</v>
      </c>
      <c r="D91" s="13"/>
    </row>
    <row r="92" spans="2:4" ht="12.75">
      <c r="B92" s="57" t="s">
        <v>87</v>
      </c>
      <c r="C92" s="67"/>
      <c r="D92" s="68"/>
    </row>
    <row r="93" spans="2:4" ht="12.75">
      <c r="B93" s="58" t="s">
        <v>67</v>
      </c>
      <c r="C93" s="22" t="e">
        <f>Impacts!$N$37</f>
        <v>#DIV/0!</v>
      </c>
      <c r="D93" s="13"/>
    </row>
    <row r="94" spans="2:4" ht="12.75">
      <c r="B94" s="61" t="s">
        <v>88</v>
      </c>
      <c r="C94" s="22" t="e">
        <f>Impacts!$N$38</f>
        <v>#DIV/0!</v>
      </c>
      <c r="D94" s="13"/>
    </row>
    <row r="95" spans="2:4" ht="12.75">
      <c r="B95" s="61" t="s">
        <v>177</v>
      </c>
      <c r="C95" s="22" t="e">
        <f>Impacts!$G$65</f>
        <v>#DIV/0!</v>
      </c>
      <c r="D95" s="29"/>
    </row>
    <row r="96" spans="2:4" ht="12.75">
      <c r="B96" s="55" t="s">
        <v>167</v>
      </c>
      <c r="C96" s="23" t="e">
        <f>Impacts!$G$82</f>
        <v>#DIV/0!</v>
      </c>
      <c r="D96" s="13"/>
    </row>
    <row r="97" spans="2:4" ht="12.75">
      <c r="B97" s="57" t="s">
        <v>89</v>
      </c>
      <c r="C97" s="70"/>
      <c r="D97" s="33"/>
    </row>
    <row r="98" spans="2:4" ht="12.75">
      <c r="B98" s="58" t="s">
        <v>66</v>
      </c>
      <c r="C98" s="22" t="e">
        <f>SUM(Impacts!$N$36,Impacts!$N$39,Impacts!$N$40)</f>
        <v>#DIV/0!</v>
      </c>
      <c r="D98" s="13"/>
    </row>
    <row r="99" spans="2:4" ht="12.75">
      <c r="B99" s="61" t="s">
        <v>168</v>
      </c>
      <c r="C99" s="22" t="e">
        <f>Impacts!$G$86</f>
        <v>#DIV/0!</v>
      </c>
      <c r="D99" s="33"/>
    </row>
    <row r="100" spans="2:4" ht="12.75">
      <c r="B100" s="57" t="s">
        <v>76</v>
      </c>
      <c r="C100" s="70"/>
      <c r="D100" s="33"/>
    </row>
    <row r="101" spans="2:4" ht="12.75">
      <c r="B101" s="61" t="s">
        <v>170</v>
      </c>
      <c r="C101" s="22" t="e">
        <f>SUM(Impacts!$N$19,Impacts!$N$22,Impacts!$G$52)</f>
        <v>#DIV/0!</v>
      </c>
      <c r="D101" s="29"/>
    </row>
    <row r="102" spans="2:4" ht="12.75">
      <c r="B102" s="61" t="s">
        <v>171</v>
      </c>
      <c r="C102" s="22" t="e">
        <f>SUM(Impacts!$N$48,Impacts!$N$49,Impacts!$N$50,Impacts!$N$51,Impacts!$G$52,Impacts!$G$53)</f>
        <v>#DIV/0!</v>
      </c>
      <c r="D102" s="29"/>
    </row>
    <row r="103" spans="2:4" ht="12.75">
      <c r="B103" s="56" t="s">
        <v>3</v>
      </c>
      <c r="C103" s="37" t="e">
        <f>Impacts!$N$30</f>
        <v>#DIV/0!</v>
      </c>
      <c r="D103" s="29"/>
    </row>
    <row r="104" spans="2:4" ht="12.75">
      <c r="B104" s="9" t="s">
        <v>16</v>
      </c>
      <c r="C104" s="36" t="e">
        <f>SUM(Impacts!$G$58,Impacts!$G$59,Impacts!$G$61)</f>
        <v>#DIV/0!</v>
      </c>
      <c r="D104" s="33"/>
    </row>
    <row r="105" spans="2:5" ht="13.5" thickBot="1">
      <c r="B105" s="30"/>
      <c r="C105" s="35"/>
      <c r="D105" s="29"/>
      <c r="E105" s="13"/>
    </row>
    <row r="106" ht="13.5" thickTop="1">
      <c r="D106" s="13"/>
    </row>
    <row r="107" ht="13.5" thickBot="1">
      <c r="B107" s="5" t="s">
        <v>30</v>
      </c>
    </row>
    <row r="108" spans="2:4" ht="14.25" thickBot="1" thickTop="1">
      <c r="B108" s="246"/>
      <c r="C108" s="244" t="s">
        <v>18</v>
      </c>
      <c r="D108" s="245"/>
    </row>
    <row r="109" spans="2:4" ht="13.5" thickBot="1">
      <c r="B109" s="247"/>
      <c r="C109" s="80" t="s">
        <v>172</v>
      </c>
      <c r="D109" s="81" t="s">
        <v>173</v>
      </c>
    </row>
    <row r="110" spans="2:4" ht="12.75">
      <c r="B110" s="52" t="s">
        <v>32</v>
      </c>
      <c r="C110" s="88" t="e">
        <f>Impacts!$G$10</f>
        <v>#DIV/0!</v>
      </c>
      <c r="D110" s="243" t="e">
        <f>Impacts!$N$14</f>
        <v>#DIV/0!</v>
      </c>
    </row>
    <row r="111" spans="2:4" ht="12.75">
      <c r="B111" s="53" t="s">
        <v>31</v>
      </c>
      <c r="C111" s="85" t="e">
        <f>Impacts!$G$13</f>
        <v>#DIV/0!</v>
      </c>
      <c r="D111" s="239"/>
    </row>
    <row r="112" spans="2:4" ht="12.75">
      <c r="B112" s="53" t="s">
        <v>169</v>
      </c>
      <c r="C112" s="85" t="e">
        <f>SUM(Impacts!$G$18,Impacts!$G$52)</f>
        <v>#DIV/0!</v>
      </c>
      <c r="D112" s="242"/>
    </row>
    <row r="113" spans="2:4" ht="12.75">
      <c r="B113" s="53" t="s">
        <v>3</v>
      </c>
      <c r="C113" s="85" t="e">
        <f>Impacts!$N$30</f>
        <v>#DIV/0!</v>
      </c>
      <c r="D113" s="84" t="e">
        <f>Impacts!$G$27</f>
        <v>#DIV/0!</v>
      </c>
    </row>
    <row r="114" spans="2:4" ht="12.75">
      <c r="B114" s="55" t="s">
        <v>91</v>
      </c>
      <c r="C114" s="66"/>
      <c r="D114" s="241"/>
    </row>
    <row r="115" spans="2:4" ht="12.75">
      <c r="B115" s="79" t="s">
        <v>59</v>
      </c>
      <c r="C115" s="86" t="e">
        <f>Impacts!$G$43</f>
        <v>#DIV/0!</v>
      </c>
      <c r="D115" s="239"/>
    </row>
    <row r="116" spans="2:4" ht="12.75">
      <c r="B116" s="82" t="s">
        <v>61</v>
      </c>
      <c r="C116" s="85" t="e">
        <f>Impacts!$G$60</f>
        <v>#DIV/0!</v>
      </c>
      <c r="D116" s="242"/>
    </row>
    <row r="117" spans="2:4" ht="12.75">
      <c r="B117" s="55" t="s">
        <v>62</v>
      </c>
      <c r="C117" s="66"/>
      <c r="D117" s="84"/>
    </row>
    <row r="118" spans="2:5" ht="12.75">
      <c r="B118" s="79" t="s">
        <v>63</v>
      </c>
      <c r="C118" s="86" t="e">
        <f>Impacts!$G$31</f>
        <v>#DIV/0!</v>
      </c>
      <c r="D118" s="33" t="e">
        <f>Impacts!$G$31</f>
        <v>#DIV/0!</v>
      </c>
      <c r="E118" s="24"/>
    </row>
    <row r="119" spans="2:5" ht="12.75">
      <c r="B119" s="79" t="s">
        <v>174</v>
      </c>
      <c r="C119" s="86" t="e">
        <f>Impacts!$N$41</f>
        <v>#DIV/0!</v>
      </c>
      <c r="D119" s="33" t="e">
        <f>Impacts!$N$41</f>
        <v>#DIV/0!</v>
      </c>
      <c r="E119" s="24"/>
    </row>
    <row r="120" spans="2:5" ht="12.75">
      <c r="B120" s="82" t="s">
        <v>64</v>
      </c>
      <c r="C120" s="85" t="e">
        <f>Impacts!$G$85</f>
        <v>#DIV/0!</v>
      </c>
      <c r="D120" s="85" t="e">
        <f>Impacts!$G$85</f>
        <v>#DIV/0!</v>
      </c>
      <c r="E120" s="24"/>
    </row>
    <row r="121" spans="2:5" ht="12.75">
      <c r="B121" s="55" t="s">
        <v>65</v>
      </c>
      <c r="C121" s="86"/>
      <c r="D121" s="33"/>
      <c r="E121" s="24"/>
    </row>
    <row r="122" spans="2:5" ht="12.75">
      <c r="B122" s="79" t="s">
        <v>66</v>
      </c>
      <c r="C122" s="86" t="e">
        <f>Impacts!$N$36</f>
        <v>#DIV/0!</v>
      </c>
      <c r="D122" s="33" t="e">
        <f>Impacts!$N$36</f>
        <v>#DIV/0!</v>
      </c>
      <c r="E122" s="24"/>
    </row>
    <row r="123" spans="2:5" ht="12.75">
      <c r="B123" s="82" t="s">
        <v>67</v>
      </c>
      <c r="C123" s="85" t="e">
        <f>Impacts!$N$37</f>
        <v>#DIV/0!</v>
      </c>
      <c r="D123" s="89" t="e">
        <f>Impacts!$N$37</f>
        <v>#DIV/0!</v>
      </c>
      <c r="E123" s="24"/>
    </row>
    <row r="124" spans="2:5" ht="12.75">
      <c r="B124" s="79" t="s">
        <v>90</v>
      </c>
      <c r="C124" s="86"/>
      <c r="D124" s="237"/>
      <c r="E124" s="24"/>
    </row>
    <row r="125" spans="2:5" ht="12.75">
      <c r="B125" s="55" t="s">
        <v>58</v>
      </c>
      <c r="C125" s="86" t="e">
        <f>Impacts!$N$50</f>
        <v>#DIV/0!</v>
      </c>
      <c r="D125" s="238"/>
      <c r="E125" s="24"/>
    </row>
    <row r="126" spans="2:4" ht="12.75">
      <c r="B126" s="55" t="s">
        <v>17</v>
      </c>
      <c r="C126" s="86" t="e">
        <f>SUM(Impacts!$G$66,Impacts!$G$67)</f>
        <v>#DIV/0!</v>
      </c>
      <c r="D126" s="239"/>
    </row>
    <row r="127" spans="2:4" ht="13.5" thickBot="1">
      <c r="B127" s="83" t="s">
        <v>16</v>
      </c>
      <c r="C127" s="87" t="e">
        <f>SUM(Impacts!$G$58,Impacts!$N$75)</f>
        <v>#DIV/0!</v>
      </c>
      <c r="D127" s="240"/>
    </row>
    <row r="128" ht="13.5" thickTop="1"/>
  </sheetData>
  <sheetProtection/>
  <mergeCells count="9">
    <mergeCell ref="B108:B109"/>
    <mergeCell ref="D68:D82"/>
    <mergeCell ref="C61:C67"/>
    <mergeCell ref="C59:D59"/>
    <mergeCell ref="B59:B60"/>
    <mergeCell ref="D124:D127"/>
    <mergeCell ref="D114:D116"/>
    <mergeCell ref="D110:D112"/>
    <mergeCell ref="C108:D108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58"/>
  <sheetViews>
    <sheetView workbookViewId="0" topLeftCell="A1">
      <selection activeCell="D64" sqref="D64:D67"/>
    </sheetView>
  </sheetViews>
  <sheetFormatPr defaultColWidth="9.140625" defaultRowHeight="12.75"/>
  <cols>
    <col min="1" max="1" width="2.8515625" style="0" customWidth="1"/>
    <col min="2" max="2" width="35.57421875" style="0" customWidth="1"/>
    <col min="3" max="3" width="15.8515625" style="6" customWidth="1"/>
    <col min="4" max="4" width="19.00390625" style="0" customWidth="1"/>
  </cols>
  <sheetData>
    <row r="2" spans="2:3" ht="12.75">
      <c r="B2" s="5" t="s">
        <v>10</v>
      </c>
      <c r="C2" s="180">
        <f>Impacts!$E$2</f>
        <v>0</v>
      </c>
    </row>
    <row r="3" ht="12.75">
      <c r="C3" s="180"/>
    </row>
    <row r="4" spans="2:3" ht="12.75">
      <c r="B4" s="5" t="s">
        <v>11</v>
      </c>
      <c r="C4" s="180">
        <f>Impacts!$E$4</f>
        <v>0</v>
      </c>
    </row>
    <row r="5" ht="12.75">
      <c r="C5" s="180"/>
    </row>
    <row r="6" spans="2:3" ht="12.75">
      <c r="B6" s="5" t="s">
        <v>9</v>
      </c>
      <c r="C6" s="180">
        <f>Impacts!$E$6</f>
        <v>0</v>
      </c>
    </row>
    <row r="7" ht="12.75">
      <c r="B7" s="5"/>
    </row>
    <row r="8" ht="12.75">
      <c r="B8" s="5"/>
    </row>
    <row r="9" ht="13.5" thickBot="1">
      <c r="B9" s="5" t="s">
        <v>20</v>
      </c>
    </row>
    <row r="10" spans="2:3" ht="14.25" thickBot="1" thickTop="1">
      <c r="B10" s="38"/>
      <c r="C10" s="10" t="s">
        <v>18</v>
      </c>
    </row>
    <row r="11" spans="2:3" ht="12.75">
      <c r="B11" s="51" t="s">
        <v>32</v>
      </c>
      <c r="C11" s="11" t="e">
        <f>Impacts!$G$10</f>
        <v>#DIV/0!</v>
      </c>
    </row>
    <row r="12" spans="2:3" ht="12.75">
      <c r="B12" s="52" t="s">
        <v>31</v>
      </c>
      <c r="C12" s="11" t="e">
        <f>Impacts!$G$13</f>
        <v>#DIV/0!</v>
      </c>
    </row>
    <row r="13" spans="2:3" ht="12.75">
      <c r="B13" s="54" t="s">
        <v>160</v>
      </c>
      <c r="C13" s="21"/>
    </row>
    <row r="14" spans="2:3" ht="12.75">
      <c r="B14" s="55" t="s">
        <v>161</v>
      </c>
      <c r="C14" s="17" t="e">
        <f>Impacts!$N$18</f>
        <v>#DIV/0!</v>
      </c>
    </row>
    <row r="15" spans="2:3" ht="12.75">
      <c r="B15" s="55" t="s">
        <v>162</v>
      </c>
      <c r="C15" s="17" t="e">
        <f>Impacts!$N$19</f>
        <v>#DIV/0!</v>
      </c>
    </row>
    <row r="16" spans="2:3" ht="12.75">
      <c r="B16" s="55" t="s">
        <v>163</v>
      </c>
      <c r="C16" s="17" t="e">
        <f>Impacts!$N$20</f>
        <v>#DIV/0!</v>
      </c>
    </row>
    <row r="17" spans="2:3" ht="12.75">
      <c r="B17" s="55" t="s">
        <v>64</v>
      </c>
      <c r="C17" s="17" t="e">
        <f>Impacts!$N$21</f>
        <v>#DIV/0!</v>
      </c>
    </row>
    <row r="18" spans="2:3" ht="12.75">
      <c r="B18" s="52" t="s">
        <v>164</v>
      </c>
      <c r="C18" s="11" t="e">
        <f>Impacts!$N$22</f>
        <v>#DIV/0!</v>
      </c>
    </row>
    <row r="19" spans="2:3" ht="12.75">
      <c r="B19" s="53" t="s">
        <v>13</v>
      </c>
      <c r="C19" s="11" t="e">
        <f>Impacts!$G$24</f>
        <v>#DIV/0!</v>
      </c>
    </row>
    <row r="20" spans="2:3" ht="12.75">
      <c r="B20" s="56" t="s">
        <v>14</v>
      </c>
      <c r="C20" s="11" t="e">
        <f>Impacts!$G$75</f>
        <v>#DIV/0!</v>
      </c>
    </row>
    <row r="21" spans="2:3" ht="12.75">
      <c r="B21" s="53" t="s">
        <v>15</v>
      </c>
      <c r="C21" s="11" t="e">
        <f>Impacts!$G$27</f>
        <v>#DIV/0!</v>
      </c>
    </row>
    <row r="22" spans="2:3" ht="12.75">
      <c r="B22" s="56" t="s">
        <v>55</v>
      </c>
      <c r="C22" s="11" t="e">
        <f>SUM(Impacts!$G$58:$G$61)</f>
        <v>#DIV/0!</v>
      </c>
    </row>
    <row r="23" spans="2:3" ht="12.75">
      <c r="B23" s="57" t="s">
        <v>56</v>
      </c>
      <c r="C23" s="48"/>
    </row>
    <row r="24" spans="2:3" ht="12.75">
      <c r="B24" s="58" t="s">
        <v>158</v>
      </c>
      <c r="C24" s="17" t="e">
        <f>SUM(Impacts!$G$64,Impacts!$G$66,Impacts!$G$69)</f>
        <v>#DIV/0!</v>
      </c>
    </row>
    <row r="25" spans="2:3" ht="12.75">
      <c r="B25" s="59" t="s">
        <v>159</v>
      </c>
      <c r="C25" s="11" t="e">
        <f>SUM(Impacts!$G$65,Impacts!$G$67)</f>
        <v>#DIV/0!</v>
      </c>
    </row>
    <row r="26" spans="2:3" ht="13.5" thickBot="1">
      <c r="B26" s="39"/>
      <c r="C26" s="76"/>
    </row>
    <row r="27" spans="2:3" ht="13.5" thickTop="1">
      <c r="B27" s="13"/>
      <c r="C27" s="20"/>
    </row>
    <row r="28" spans="2:4" ht="13.5" thickBot="1">
      <c r="B28" s="5" t="s">
        <v>28</v>
      </c>
      <c r="C28" s="20"/>
      <c r="D28" s="13"/>
    </row>
    <row r="29" spans="2:4" ht="14.25" thickBot="1" thickTop="1">
      <c r="B29" s="94"/>
      <c r="C29" s="100" t="s">
        <v>18</v>
      </c>
      <c r="D29" s="99"/>
    </row>
    <row r="30" spans="2:4" ht="12.75">
      <c r="B30" s="95" t="s">
        <v>84</v>
      </c>
      <c r="C30" s="92"/>
      <c r="D30" s="91"/>
    </row>
    <row r="31" spans="2:4" ht="12.75">
      <c r="B31" s="96" t="s">
        <v>73</v>
      </c>
      <c r="C31" s="72" t="e">
        <f>Impacts!$G$78</f>
        <v>#DIV/0!</v>
      </c>
      <c r="D31" s="33"/>
    </row>
    <row r="32" spans="2:4" ht="12.75">
      <c r="B32" s="55" t="s">
        <v>75</v>
      </c>
      <c r="C32" s="72" t="e">
        <f>Impacts!$G$80</f>
        <v>#DIV/0!</v>
      </c>
      <c r="D32" s="33"/>
    </row>
    <row r="33" spans="2:4" ht="12.75">
      <c r="B33" s="55" t="s">
        <v>74</v>
      </c>
      <c r="C33" s="72" t="e">
        <f>Impacts!$G$79</f>
        <v>#DIV/0!</v>
      </c>
      <c r="D33" s="32"/>
    </row>
    <row r="34" spans="2:4" ht="12.75">
      <c r="B34" s="55" t="s">
        <v>85</v>
      </c>
      <c r="C34" s="90" t="e">
        <f>SUM(Impacts!$G$64,Impacts!$G$65,Impacts!$G$66,Impacts!$G$67,Impacts!$G$69)</f>
        <v>#DIV/0!</v>
      </c>
      <c r="D34" s="69"/>
    </row>
    <row r="35" spans="2:4" ht="12.75">
      <c r="B35" s="52" t="s">
        <v>86</v>
      </c>
      <c r="C35" s="73" t="e">
        <f>SUM(Impacts!$G$72:$G$74)</f>
        <v>#DIV/0!</v>
      </c>
      <c r="D35" s="32"/>
    </row>
    <row r="36" spans="2:4" ht="12.75">
      <c r="B36" s="54" t="s">
        <v>87</v>
      </c>
      <c r="C36" s="67"/>
      <c r="D36" s="68"/>
    </row>
    <row r="37" spans="2:4" ht="12.75">
      <c r="B37" s="79" t="s">
        <v>67</v>
      </c>
      <c r="C37" s="72" t="e">
        <f>Impacts!$N$37</f>
        <v>#DIV/0!</v>
      </c>
      <c r="D37" s="33"/>
    </row>
    <row r="38" spans="2:4" ht="12.75">
      <c r="B38" s="61" t="s">
        <v>177</v>
      </c>
      <c r="C38" s="22" t="e">
        <f>Impacts!$G$65</f>
        <v>#DIV/0!</v>
      </c>
      <c r="D38" s="33"/>
    </row>
    <row r="39" spans="2:4" ht="12.75">
      <c r="B39" s="55" t="s">
        <v>88</v>
      </c>
      <c r="C39" s="72" t="e">
        <f>Impacts!$N$38</f>
        <v>#DIV/0!</v>
      </c>
      <c r="D39" s="33"/>
    </row>
    <row r="40" spans="2:4" ht="12.75">
      <c r="B40" s="55" t="s">
        <v>167</v>
      </c>
      <c r="C40" s="73" t="e">
        <f>Impacts!$G$82</f>
        <v>#DIV/0!</v>
      </c>
      <c r="D40" s="33"/>
    </row>
    <row r="41" spans="2:4" ht="12.75">
      <c r="B41" s="54" t="s">
        <v>89</v>
      </c>
      <c r="C41" s="70"/>
      <c r="D41" s="33"/>
    </row>
    <row r="42" spans="2:4" ht="12.75">
      <c r="B42" s="79" t="s">
        <v>66</v>
      </c>
      <c r="C42" s="72" t="e">
        <f>SUM(Impacts!$N$36,Impacts!$N$39,Impacts!$N$40)</f>
        <v>#DIV/0!</v>
      </c>
      <c r="D42" s="33"/>
    </row>
    <row r="43" spans="2:4" ht="12.75">
      <c r="B43" s="55" t="s">
        <v>168</v>
      </c>
      <c r="C43" s="72" t="e">
        <f>SUM(Impacts!$G$85,Impacts!$G$86)</f>
        <v>#DIV/0!</v>
      </c>
      <c r="D43" s="33"/>
    </row>
    <row r="44" spans="2:4" ht="12.75">
      <c r="B44" s="54" t="s">
        <v>76</v>
      </c>
      <c r="C44" s="70"/>
      <c r="D44" s="33"/>
    </row>
    <row r="45" spans="2:4" ht="12.75">
      <c r="B45" s="55" t="s">
        <v>170</v>
      </c>
      <c r="C45" s="72" t="e">
        <f>SUM(Impacts!$N$19,Impacts!$N$22,Impacts!$G$52)</f>
        <v>#DIV/0!</v>
      </c>
      <c r="D45" s="33"/>
    </row>
    <row r="46" spans="2:4" ht="12.75">
      <c r="B46" s="55" t="s">
        <v>171</v>
      </c>
      <c r="C46" s="72" t="e">
        <f>SUM(Impacts!$N$48,Impacts!$N$49,Impacts!$N$50,Impacts!$G$52,Impacts!$G$53,Impacts!$N$51,Impacts!$N$47)</f>
        <v>#DIV/0!</v>
      </c>
      <c r="D46" s="33"/>
    </row>
    <row r="47" spans="2:4" ht="12.75">
      <c r="B47" s="53" t="s">
        <v>3</v>
      </c>
      <c r="C47" s="70" t="e">
        <f>Impacts!$G$27</f>
        <v>#DIV/0!</v>
      </c>
      <c r="D47" s="33"/>
    </row>
    <row r="48" spans="2:4" ht="12.75">
      <c r="B48" s="19" t="s">
        <v>16</v>
      </c>
      <c r="C48" s="78" t="e">
        <f>SUM(Impacts!$G$58,Impacts!$G$59,Impacts!$G$61)</f>
        <v>#DIV/0!</v>
      </c>
      <c r="D48" s="33"/>
    </row>
    <row r="49" spans="2:4" ht="13.5" thickBot="1">
      <c r="B49" s="97"/>
      <c r="C49" s="101"/>
      <c r="D49" s="33"/>
    </row>
    <row r="50" ht="13.5" thickTop="1"/>
    <row r="51" ht="13.5" thickBot="1">
      <c r="B51" s="5" t="s">
        <v>30</v>
      </c>
    </row>
    <row r="52" spans="2:4" ht="14.25" thickBot="1" thickTop="1">
      <c r="B52" s="45"/>
      <c r="C52" s="34" t="s">
        <v>18</v>
      </c>
      <c r="D52" s="31"/>
    </row>
    <row r="53" spans="2:4" ht="12.75">
      <c r="B53" s="103" t="s">
        <v>17</v>
      </c>
      <c r="C53" s="70" t="e">
        <f>SUM(Impacts!$G$64:$G$69)</f>
        <v>#DIV/0!</v>
      </c>
      <c r="D53" s="33"/>
    </row>
    <row r="54" spans="2:4" ht="12.75">
      <c r="B54" s="79" t="s">
        <v>16</v>
      </c>
      <c r="C54" s="72" t="e">
        <f>SUM(Impacts!$G$58,Impacts!$G$59,Impacts!$G$61)</f>
        <v>#DIV/0!</v>
      </c>
      <c r="D54" s="33"/>
    </row>
    <row r="55" spans="2:4" ht="12.75">
      <c r="B55" s="79" t="s">
        <v>175</v>
      </c>
      <c r="C55" s="72" t="e">
        <f>SUM(Impacts!$G$36,Impacts!$N$42,Impacts!$N$47,Impacts!$G$86)</f>
        <v>#DIV/0!</v>
      </c>
      <c r="D55" s="33"/>
    </row>
    <row r="56" spans="2:4" ht="12.75">
      <c r="B56" s="55" t="s">
        <v>3</v>
      </c>
      <c r="C56" s="72" t="e">
        <f>Impacts!$G$27</f>
        <v>#DIV/0!</v>
      </c>
      <c r="D56" s="33"/>
    </row>
    <row r="57" spans="2:4" ht="12.75">
      <c r="B57" s="55" t="s">
        <v>29</v>
      </c>
      <c r="C57" s="72" t="e">
        <f>SUM(Impacts!$G$78:$G$80)</f>
        <v>#DIV/0!</v>
      </c>
      <c r="D57" s="33"/>
    </row>
    <row r="58" spans="2:4" ht="13.5" thickBot="1">
      <c r="B58" s="83"/>
      <c r="C58" s="98"/>
      <c r="D58" s="20"/>
    </row>
    <row r="59" ht="13.5" thickTop="1"/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workbookViewId="0" topLeftCell="A1">
      <selection activeCell="E11" sqref="E11"/>
    </sheetView>
  </sheetViews>
  <sheetFormatPr defaultColWidth="9.140625" defaultRowHeight="12.75"/>
  <cols>
    <col min="1" max="1" width="2.7109375" style="0" customWidth="1"/>
    <col min="2" max="2" width="37.00390625" style="0" customWidth="1"/>
    <col min="3" max="3" width="11.7109375" style="0" hidden="1" customWidth="1"/>
    <col min="4" max="4" width="11.421875" style="0" hidden="1" customWidth="1"/>
    <col min="5" max="5" width="23.57421875" style="6" bestFit="1" customWidth="1"/>
  </cols>
  <sheetData>
    <row r="1" ht="12.75">
      <c r="B1" s="264"/>
    </row>
    <row r="2" spans="2:5" ht="12.75">
      <c r="B2" s="265" t="s">
        <v>92</v>
      </c>
      <c r="C2" s="5"/>
      <c r="D2" s="5"/>
      <c r="E2" s="180">
        <f>Impacts!$E$2</f>
        <v>0</v>
      </c>
    </row>
    <row r="3" spans="2:5" ht="12.75">
      <c r="B3" s="264"/>
      <c r="E3" s="180"/>
    </row>
    <row r="4" spans="2:5" ht="12.75">
      <c r="B4" s="265" t="s">
        <v>93</v>
      </c>
      <c r="C4" s="5"/>
      <c r="D4" s="5"/>
      <c r="E4" s="180">
        <f>Impacts!$E$4</f>
        <v>0</v>
      </c>
    </row>
    <row r="5" spans="2:5" ht="12.75">
      <c r="B5" s="264"/>
      <c r="E5" s="180"/>
    </row>
    <row r="6" spans="2:5" ht="12.75">
      <c r="B6" s="265" t="s">
        <v>94</v>
      </c>
      <c r="C6" s="5"/>
      <c r="D6" s="5"/>
      <c r="E6" s="180">
        <f>Impacts!E6</f>
        <v>0</v>
      </c>
    </row>
    <row r="7" ht="12.75">
      <c r="B7" s="264"/>
    </row>
    <row r="8" ht="13.5" thickBot="1">
      <c r="B8" s="264"/>
    </row>
    <row r="9" spans="2:5" ht="13.5" thickTop="1">
      <c r="B9" s="266" t="s">
        <v>184</v>
      </c>
      <c r="C9" s="199"/>
      <c r="D9" s="199"/>
      <c r="E9" s="206" t="s">
        <v>186</v>
      </c>
    </row>
    <row r="10" spans="2:5" ht="13.5" thickBot="1">
      <c r="B10" s="267" t="s">
        <v>185</v>
      </c>
      <c r="C10" s="200"/>
      <c r="D10" s="200"/>
      <c r="E10" s="207"/>
    </row>
    <row r="11" spans="2:6" ht="12.75">
      <c r="B11" s="268" t="s">
        <v>32</v>
      </c>
      <c r="C11" s="85" t="e">
        <f>Impacts!$G$10</f>
        <v>#DIV/0!</v>
      </c>
      <c r="D11" s="203" t="e">
        <f>$C$11</f>
        <v>#DIV/0!</v>
      </c>
      <c r="E11" s="258" t="e">
        <f>IF(C11&gt;5,"5.0",D11)</f>
        <v>#DIV/0!</v>
      </c>
      <c r="F11" s="197"/>
    </row>
    <row r="12" spans="2:6" ht="12.75">
      <c r="B12" s="269" t="s">
        <v>31</v>
      </c>
      <c r="C12" s="208" t="e">
        <f>Impacts!$G$13</f>
        <v>#DIV/0!</v>
      </c>
      <c r="D12" s="204" t="e">
        <f>$C$12</f>
        <v>#DIV/0!</v>
      </c>
      <c r="E12" s="259" t="e">
        <f aca="true" t="shared" si="0" ref="E12:E26">IF(C12&gt;5,"5.0",D12)</f>
        <v>#DIV/0!</v>
      </c>
      <c r="F12" s="197"/>
    </row>
    <row r="13" spans="2:6" ht="12.75">
      <c r="B13" s="269" t="s">
        <v>181</v>
      </c>
      <c r="C13" s="208" t="e">
        <f>Impacts!$N$30</f>
        <v>#DIV/0!</v>
      </c>
      <c r="D13" s="204" t="e">
        <f>$C$13</f>
        <v>#DIV/0!</v>
      </c>
      <c r="E13" s="259" t="e">
        <f t="shared" si="0"/>
        <v>#DIV/0!</v>
      </c>
      <c r="F13" s="197"/>
    </row>
    <row r="14" spans="2:6" ht="12.75">
      <c r="B14" s="269" t="s">
        <v>182</v>
      </c>
      <c r="C14" s="209" t="e">
        <f>Impacts!$G$15</f>
        <v>#DIV/0!</v>
      </c>
      <c r="D14" s="204" t="e">
        <f>$C$14</f>
        <v>#DIV/0!</v>
      </c>
      <c r="E14" s="259" t="e">
        <f t="shared" si="0"/>
        <v>#DIV/0!</v>
      </c>
      <c r="F14" s="197"/>
    </row>
    <row r="15" spans="2:6" ht="12.75">
      <c r="B15" s="269" t="s">
        <v>51</v>
      </c>
      <c r="C15" s="208" t="e">
        <f>Impacts!$N$18</f>
        <v>#DIV/0!</v>
      </c>
      <c r="D15" s="204" t="e">
        <f>$C$15</f>
        <v>#DIV/0!</v>
      </c>
      <c r="E15" s="259" t="e">
        <f t="shared" si="0"/>
        <v>#DIV/0!</v>
      </c>
      <c r="F15" s="197"/>
    </row>
    <row r="16" spans="2:6" ht="12.75">
      <c r="B16" s="269" t="s">
        <v>52</v>
      </c>
      <c r="C16" s="208" t="e">
        <f>Impacts!$N$19</f>
        <v>#DIV/0!</v>
      </c>
      <c r="D16" s="204" t="e">
        <f>$C$16</f>
        <v>#DIV/0!</v>
      </c>
      <c r="E16" s="259" t="e">
        <f t="shared" si="0"/>
        <v>#DIV/0!</v>
      </c>
      <c r="F16" s="197"/>
    </row>
    <row r="17" spans="2:6" ht="12.75">
      <c r="B17" s="269" t="s">
        <v>53</v>
      </c>
      <c r="C17" s="208" t="e">
        <f>Impacts!$N$20</f>
        <v>#DIV/0!</v>
      </c>
      <c r="D17" s="204" t="e">
        <f>$C$17</f>
        <v>#DIV/0!</v>
      </c>
      <c r="E17" s="259" t="e">
        <f t="shared" si="0"/>
        <v>#DIV/0!</v>
      </c>
      <c r="F17" s="197"/>
    </row>
    <row r="18" spans="2:6" ht="12.75">
      <c r="B18" s="269" t="s">
        <v>54</v>
      </c>
      <c r="C18" s="208" t="e">
        <f>Impacts!$N$21</f>
        <v>#DIV/0!</v>
      </c>
      <c r="D18" s="204" t="e">
        <f>$C$18</f>
        <v>#DIV/0!</v>
      </c>
      <c r="E18" s="259" t="e">
        <f t="shared" si="0"/>
        <v>#DIV/0!</v>
      </c>
      <c r="F18" s="197"/>
    </row>
    <row r="19" spans="2:6" ht="12.75">
      <c r="B19" s="269" t="s">
        <v>103</v>
      </c>
      <c r="C19" s="208" t="e">
        <f>Impacts!$G$24</f>
        <v>#DIV/0!</v>
      </c>
      <c r="D19" s="204" t="e">
        <f>$C$19</f>
        <v>#DIV/0!</v>
      </c>
      <c r="E19" s="259" t="e">
        <f t="shared" si="0"/>
        <v>#DIV/0!</v>
      </c>
      <c r="F19" s="197"/>
    </row>
    <row r="20" spans="2:9" ht="12.75">
      <c r="B20" s="269" t="s">
        <v>104</v>
      </c>
      <c r="C20" s="208" t="e">
        <f>SUM('Instream MG'!$C$69:'Instream MG'!$C$74,'Instream MG'!$C$79)</f>
        <v>#DIV/0!</v>
      </c>
      <c r="D20" s="204" t="e">
        <f>$C$20</f>
        <v>#DIV/0!</v>
      </c>
      <c r="E20" s="259" t="e">
        <f t="shared" si="0"/>
        <v>#DIV/0!</v>
      </c>
      <c r="F20" s="198"/>
      <c r="G20" s="18"/>
      <c r="H20" s="18"/>
      <c r="I20" s="18"/>
    </row>
    <row r="21" spans="2:9" ht="12.75">
      <c r="B21" s="269" t="s">
        <v>105</v>
      </c>
      <c r="C21" s="208" t="e">
        <f>SUM('Instream MG'!$D$62:$D$67)</f>
        <v>#DIV/0!</v>
      </c>
      <c r="D21" s="204" t="e">
        <f>$C$21</f>
        <v>#DIV/0!</v>
      </c>
      <c r="E21" s="259" t="e">
        <f t="shared" si="0"/>
        <v>#DIV/0!</v>
      </c>
      <c r="F21" s="18"/>
      <c r="G21" s="18"/>
      <c r="H21" s="18"/>
      <c r="I21" s="18"/>
    </row>
    <row r="22" spans="2:9" ht="12.75">
      <c r="B22" s="269" t="s">
        <v>106</v>
      </c>
      <c r="C22" s="208" t="e">
        <f>Impacts!$N$33</f>
        <v>#DIV/0!</v>
      </c>
      <c r="D22" s="204" t="e">
        <f>$C$22</f>
        <v>#DIV/0!</v>
      </c>
      <c r="E22" s="259" t="e">
        <f t="shared" si="0"/>
        <v>#DIV/0!</v>
      </c>
      <c r="F22" s="18"/>
      <c r="G22" s="18"/>
      <c r="H22" s="18"/>
      <c r="I22" s="18"/>
    </row>
    <row r="23" spans="2:5" ht="12.75">
      <c r="B23" s="269" t="s">
        <v>183</v>
      </c>
      <c r="C23" s="208" t="e">
        <f>Impacts!$N$34</f>
        <v>#DIV/0!</v>
      </c>
      <c r="D23" s="204" t="e">
        <f>$C$23</f>
        <v>#DIV/0!</v>
      </c>
      <c r="E23" s="259" t="e">
        <f t="shared" si="0"/>
        <v>#DIV/0!</v>
      </c>
    </row>
    <row r="24" spans="2:5" ht="12.75">
      <c r="B24" s="269" t="s">
        <v>107</v>
      </c>
      <c r="C24" s="208" t="e">
        <f>SUM(Impacts!$G$31,Impacts!$G$85)</f>
        <v>#DIV/0!</v>
      </c>
      <c r="D24" s="204" t="e">
        <f>$C$24</f>
        <v>#DIV/0!</v>
      </c>
      <c r="E24" s="259" t="e">
        <f t="shared" si="0"/>
        <v>#DIV/0!</v>
      </c>
    </row>
    <row r="25" spans="2:5" ht="12.75">
      <c r="B25" s="269" t="s">
        <v>178</v>
      </c>
      <c r="C25" s="208" t="e">
        <f>Impacts!$G$60</f>
        <v>#DIV/0!</v>
      </c>
      <c r="D25" s="204" t="e">
        <f>$C$25</f>
        <v>#DIV/0!</v>
      </c>
      <c r="E25" s="259" t="e">
        <f t="shared" si="0"/>
        <v>#DIV/0!</v>
      </c>
    </row>
    <row r="26" spans="2:5" ht="12.75">
      <c r="B26" s="269" t="s">
        <v>179</v>
      </c>
      <c r="C26" s="208" t="e">
        <f>Impacts!$G$53</f>
        <v>#DIV/0!</v>
      </c>
      <c r="D26" s="204" t="e">
        <f>$C$26</f>
        <v>#DIV/0!</v>
      </c>
      <c r="E26" s="260" t="e">
        <f t="shared" si="0"/>
        <v>#DIV/0!</v>
      </c>
    </row>
    <row r="27" spans="2:5" ht="12.75">
      <c r="B27" s="270" t="s">
        <v>108</v>
      </c>
      <c r="C27" s="201"/>
      <c r="D27" s="205"/>
      <c r="E27" s="261"/>
    </row>
    <row r="28" spans="2:5" ht="12.75">
      <c r="B28" s="269" t="s">
        <v>180</v>
      </c>
      <c r="C28" s="208" t="e">
        <f>Impacts!$N$46</f>
        <v>#DIV/0!</v>
      </c>
      <c r="D28" s="204" t="e">
        <f>$C$28</f>
        <v>#DIV/0!</v>
      </c>
      <c r="E28" s="262" t="e">
        <f>IF(C28&gt;5,"5.0",D28)</f>
        <v>#DIV/0!</v>
      </c>
    </row>
    <row r="29" spans="2:5" ht="13.5" thickBot="1">
      <c r="B29" s="271"/>
      <c r="C29" s="202"/>
      <c r="D29" s="202"/>
      <c r="E29" s="263"/>
    </row>
    <row r="30" ht="13.5" thickTop="1"/>
    <row r="31" spans="5:9" ht="12.75">
      <c r="E31" s="20"/>
      <c r="F31" s="188"/>
      <c r="G31" s="29"/>
      <c r="H31" s="32"/>
      <c r="I31" s="32"/>
    </row>
    <row r="32" spans="5:9" ht="12.75">
      <c r="E32" s="20"/>
      <c r="F32" s="33"/>
      <c r="G32" s="29"/>
      <c r="H32" s="32"/>
      <c r="I32" s="32"/>
    </row>
    <row r="33" spans="5:9" ht="12.75">
      <c r="E33" s="20"/>
      <c r="F33" s="33"/>
      <c r="G33" s="29"/>
      <c r="H33" s="32"/>
      <c r="I33" s="32"/>
    </row>
    <row r="34" spans="5:9" ht="12.75">
      <c r="E34" s="20"/>
      <c r="F34" s="33"/>
      <c r="G34" s="29"/>
      <c r="H34" s="32"/>
      <c r="I34" s="32"/>
    </row>
    <row r="35" spans="5:9" ht="12.75">
      <c r="E35" s="20"/>
      <c r="F35" s="33"/>
      <c r="G35" s="32"/>
      <c r="H35" s="32"/>
      <c r="I35" s="32"/>
    </row>
    <row r="36" spans="5:9" ht="12.75">
      <c r="E36" s="20"/>
      <c r="F36" s="33"/>
      <c r="G36" s="32"/>
      <c r="H36" s="32"/>
      <c r="I36" s="32"/>
    </row>
    <row r="37" spans="6:9" ht="12.75">
      <c r="F37" s="33"/>
      <c r="G37" s="32"/>
      <c r="H37" s="32"/>
      <c r="I37" s="32"/>
    </row>
    <row r="38" spans="6:9" ht="12.75">
      <c r="F38" s="33"/>
      <c r="G38" s="32"/>
      <c r="H38" s="32"/>
      <c r="I38" s="32"/>
    </row>
    <row r="39" spans="6:9" ht="12.75">
      <c r="F39" s="33"/>
      <c r="G39" s="32"/>
      <c r="H39" s="32"/>
      <c r="I39" s="32"/>
    </row>
    <row r="40" spans="6:9" ht="12.75">
      <c r="F40" s="33"/>
      <c r="G40" s="32"/>
      <c r="H40" s="32"/>
      <c r="I40" s="32"/>
    </row>
    <row r="41" spans="6:9" ht="12.75">
      <c r="F41" s="33"/>
      <c r="G41" s="32"/>
      <c r="H41" s="32"/>
      <c r="I41" s="32"/>
    </row>
    <row r="42" spans="6:9" ht="12.75">
      <c r="F42" s="33"/>
      <c r="G42" s="32"/>
      <c r="H42" s="32"/>
      <c r="I42" s="32"/>
    </row>
    <row r="43" spans="6:9" ht="12.75">
      <c r="F43" s="33"/>
      <c r="G43" s="32"/>
      <c r="H43" s="32"/>
      <c r="I43" s="32"/>
    </row>
  </sheetData>
  <sheetProtection password="B999" sheet="1" objects="1" scenarios="1" insertHyperlinks="0" selectLockedCells="1"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8"/>
  <sheetViews>
    <sheetView workbookViewId="0" topLeftCell="A1">
      <selection activeCell="E27" sqref="E27"/>
    </sheetView>
  </sheetViews>
  <sheetFormatPr defaultColWidth="9.140625" defaultRowHeight="12.75"/>
  <cols>
    <col min="1" max="1" width="2.7109375" style="0" customWidth="1"/>
    <col min="2" max="2" width="32.57421875" style="0" customWidth="1"/>
    <col min="3" max="4" width="10.421875" style="0" hidden="1" customWidth="1"/>
    <col min="5" max="5" width="23.57421875" style="6" bestFit="1" customWidth="1"/>
  </cols>
  <sheetData>
    <row r="2" spans="2:5" ht="12.75">
      <c r="B2" s="5" t="s">
        <v>92</v>
      </c>
      <c r="C2" s="5"/>
      <c r="D2" s="5"/>
      <c r="E2" s="180">
        <f>Impacts!$E$2</f>
        <v>0</v>
      </c>
    </row>
    <row r="3" ht="12.75">
      <c r="E3" s="180"/>
    </row>
    <row r="4" spans="2:5" ht="12.75">
      <c r="B4" s="5" t="s">
        <v>93</v>
      </c>
      <c r="C4" s="5"/>
      <c r="D4" s="5"/>
      <c r="E4" s="180">
        <f>Impacts!$E$4</f>
        <v>0</v>
      </c>
    </row>
    <row r="5" ht="12.75">
      <c r="E5" s="180"/>
    </row>
    <row r="6" spans="2:5" ht="12.75">
      <c r="B6" s="5" t="s">
        <v>94</v>
      </c>
      <c r="C6" s="5"/>
      <c r="D6" s="5"/>
      <c r="E6" s="180">
        <f>Impacts!E6</f>
        <v>0</v>
      </c>
    </row>
    <row r="8" ht="13.5" thickBot="1"/>
    <row r="9" spans="2:5" ht="13.5" thickTop="1">
      <c r="B9" s="184" t="s">
        <v>184</v>
      </c>
      <c r="C9" s="199"/>
      <c r="D9" s="210"/>
      <c r="E9" s="185" t="s">
        <v>186</v>
      </c>
    </row>
    <row r="10" spans="2:5" ht="13.5" thickBot="1">
      <c r="B10" s="182" t="s">
        <v>185</v>
      </c>
      <c r="C10" s="200"/>
      <c r="D10" s="211"/>
      <c r="E10" s="183"/>
    </row>
    <row r="11" spans="2:5" ht="12.75">
      <c r="B11" s="52" t="s">
        <v>29</v>
      </c>
      <c r="C11" s="85" t="e">
        <f>SUM(Impacts!$G$78:$G$80)</f>
        <v>#DIV/0!</v>
      </c>
      <c r="D11" s="212" t="e">
        <f>$C$11</f>
        <v>#DIV/0!</v>
      </c>
      <c r="E11" s="272" t="e">
        <f>IF(C11&gt;5,"5.0",D11)</f>
        <v>#DIV/0!</v>
      </c>
    </row>
    <row r="12" spans="2:5" ht="12.75">
      <c r="B12" s="53" t="s">
        <v>180</v>
      </c>
      <c r="C12" s="208" t="e">
        <f>Impacts!$N$47</f>
        <v>#DIV/0!</v>
      </c>
      <c r="D12" s="213" t="e">
        <f>$C$12</f>
        <v>#DIV/0!</v>
      </c>
      <c r="E12" s="273" t="e">
        <f aca="true" t="shared" si="0" ref="E12:E27">IF(C12&gt;5,"5.0",D12)</f>
        <v>#DIV/0!</v>
      </c>
    </row>
    <row r="13" spans="2:5" ht="12.75">
      <c r="B13" s="53" t="s">
        <v>112</v>
      </c>
      <c r="C13" s="208" t="e">
        <f>Impacts!$G$69</f>
        <v>#DIV/0!</v>
      </c>
      <c r="D13" s="213" t="e">
        <f>$C$13</f>
        <v>#DIV/0!</v>
      </c>
      <c r="E13" s="273" t="e">
        <f t="shared" si="0"/>
        <v>#DIV/0!</v>
      </c>
    </row>
    <row r="14" spans="2:5" ht="12.75">
      <c r="B14" s="53" t="s">
        <v>37</v>
      </c>
      <c r="C14" s="208" t="e">
        <f>Impacts!$G$86</f>
        <v>#DIV/0!</v>
      </c>
      <c r="D14" s="213" t="e">
        <f>$C$14</f>
        <v>#DIV/0!</v>
      </c>
      <c r="E14" s="273" t="e">
        <f t="shared" si="0"/>
        <v>#DIV/0!</v>
      </c>
    </row>
    <row r="15" spans="2:5" ht="12.75">
      <c r="B15" s="53" t="s">
        <v>15</v>
      </c>
      <c r="C15" s="208" t="e">
        <f>Impacts!$G$27</f>
        <v>#DIV/0!</v>
      </c>
      <c r="D15" s="213" t="e">
        <f>$C$15</f>
        <v>#DIV/0!</v>
      </c>
      <c r="E15" s="273" t="e">
        <f t="shared" si="0"/>
        <v>#DIV/0!</v>
      </c>
    </row>
    <row r="16" spans="2:5" ht="12.75">
      <c r="B16" s="53" t="s">
        <v>26</v>
      </c>
      <c r="C16" s="208" t="e">
        <f>SUM(Impacts!$G$64:$G$68)</f>
        <v>#DIV/0!</v>
      </c>
      <c r="D16" s="213" t="e">
        <f>$C$16</f>
        <v>#DIV/0!</v>
      </c>
      <c r="E16" s="273" t="e">
        <f t="shared" si="0"/>
        <v>#DIV/0!</v>
      </c>
    </row>
    <row r="17" spans="2:5" ht="12.75">
      <c r="B17" s="53" t="s">
        <v>95</v>
      </c>
      <c r="C17" s="208" t="e">
        <f>SUM(Impacts!$G$58:$G$59,Impacts!$G$61)</f>
        <v>#DIV/0!</v>
      </c>
      <c r="D17" s="213" t="e">
        <f>$C$17</f>
        <v>#DIV/0!</v>
      </c>
      <c r="E17" s="273" t="e">
        <f t="shared" si="0"/>
        <v>#DIV/0!</v>
      </c>
    </row>
    <row r="18" spans="2:5" ht="12.75">
      <c r="B18" s="53" t="s">
        <v>24</v>
      </c>
      <c r="C18" s="208" t="e">
        <f>Impacts!$G$75</f>
        <v>#DIV/0!</v>
      </c>
      <c r="D18" s="213" t="e">
        <f>$C$18</f>
        <v>#DIV/0!</v>
      </c>
      <c r="E18" s="273" t="e">
        <f t="shared" si="0"/>
        <v>#DIV/0!</v>
      </c>
    </row>
    <row r="19" spans="2:5" ht="12.75">
      <c r="B19" s="53" t="s">
        <v>96</v>
      </c>
      <c r="C19" s="208" t="e">
        <f>Impacts!$N$20</f>
        <v>#DIV/0!</v>
      </c>
      <c r="D19" s="213" t="e">
        <f>$C$19</f>
        <v>#DIV/0!</v>
      </c>
      <c r="E19" s="273" t="e">
        <f t="shared" si="0"/>
        <v>#DIV/0!</v>
      </c>
    </row>
    <row r="20" spans="2:5" ht="12.75">
      <c r="B20" s="53" t="s">
        <v>97</v>
      </c>
      <c r="C20" s="208" t="e">
        <f>SUM(Impacts!$N$32,Impacts!$N$36)</f>
        <v>#DIV/0!</v>
      </c>
      <c r="D20" s="213" t="e">
        <f>$C$20</f>
        <v>#DIV/0!</v>
      </c>
      <c r="E20" s="273" t="e">
        <f t="shared" si="0"/>
        <v>#DIV/0!</v>
      </c>
    </row>
    <row r="21" spans="2:5" ht="12.75">
      <c r="B21" s="53" t="s">
        <v>98</v>
      </c>
      <c r="C21" s="208" t="e">
        <f>SUM(Impacts!$N$18,Impacts!$N$39)</f>
        <v>#DIV/0!</v>
      </c>
      <c r="D21" s="213" t="e">
        <f>$C$21</f>
        <v>#DIV/0!</v>
      </c>
      <c r="E21" s="273" t="e">
        <f t="shared" si="0"/>
        <v>#DIV/0!</v>
      </c>
    </row>
    <row r="22" spans="2:8" ht="12.75">
      <c r="B22" s="53" t="s">
        <v>99</v>
      </c>
      <c r="C22" s="208" t="e">
        <f>Impacts!$N$14</f>
        <v>#DIV/0!</v>
      </c>
      <c r="D22" s="213" t="e">
        <f>$C$22</f>
        <v>#DIV/0!</v>
      </c>
      <c r="E22" s="273" t="e">
        <f t="shared" si="0"/>
        <v>#DIV/0!</v>
      </c>
      <c r="F22" s="18"/>
      <c r="G22" s="18"/>
      <c r="H22" s="18"/>
    </row>
    <row r="23" spans="2:5" ht="12.75">
      <c r="B23" s="53" t="s">
        <v>38</v>
      </c>
      <c r="C23" s="208" t="e">
        <f>Impacts!$N$37</f>
        <v>#DIV/0!</v>
      </c>
      <c r="D23" s="213" t="e">
        <f>$C$23</f>
        <v>#DIV/0!</v>
      </c>
      <c r="E23" s="273" t="e">
        <f t="shared" si="0"/>
        <v>#DIV/0!</v>
      </c>
    </row>
    <row r="24" spans="2:5" ht="12.75">
      <c r="B24" s="53" t="s">
        <v>100</v>
      </c>
      <c r="C24" s="208" t="e">
        <f>SUM(Impacts!$N$48,Impacts!$G$64,Impacts!$G$69)</f>
        <v>#DIV/0!</v>
      </c>
      <c r="D24" s="213" t="e">
        <f>$C$24</f>
        <v>#DIV/0!</v>
      </c>
      <c r="E24" s="273" t="e">
        <f t="shared" si="0"/>
        <v>#DIV/0!</v>
      </c>
    </row>
    <row r="25" spans="2:5" ht="12.75">
      <c r="B25" s="53" t="s">
        <v>101</v>
      </c>
      <c r="C25" s="208" t="e">
        <f>SUM(Impacts!$G$73:$G$74)</f>
        <v>#DIV/0!</v>
      </c>
      <c r="D25" s="213" t="e">
        <f>$C$25</f>
        <v>#DIV/0!</v>
      </c>
      <c r="E25" s="273" t="e">
        <f t="shared" si="0"/>
        <v>#DIV/0!</v>
      </c>
    </row>
    <row r="26" spans="2:5" ht="12.75">
      <c r="B26" s="53" t="s">
        <v>102</v>
      </c>
      <c r="C26" s="208" t="e">
        <f>Impacts!$G$72</f>
        <v>#DIV/0!</v>
      </c>
      <c r="D26" s="213" t="e">
        <f>$C$26</f>
        <v>#DIV/0!</v>
      </c>
      <c r="E26" s="273" t="e">
        <f t="shared" si="0"/>
        <v>#DIV/0!</v>
      </c>
    </row>
    <row r="27" spans="2:5" ht="12.75">
      <c r="B27" s="54" t="s">
        <v>187</v>
      </c>
      <c r="C27" s="66" t="e">
        <f>Impacts!$G$82</f>
        <v>#DIV/0!</v>
      </c>
      <c r="D27" s="213" t="e">
        <f>$C$27</f>
        <v>#DIV/0!</v>
      </c>
      <c r="E27" s="274" t="e">
        <f t="shared" si="0"/>
        <v>#DIV/0!</v>
      </c>
    </row>
    <row r="28" spans="2:5" ht="13.5" thickBot="1">
      <c r="B28" s="39"/>
      <c r="C28" s="202"/>
      <c r="D28" s="214"/>
      <c r="E28" s="12"/>
    </row>
    <row r="29" ht="13.5" thickTop="1"/>
  </sheetData>
  <sheetProtection password="B999" sheet="1" objects="1" scenarios="1" insertHyperlinks="0" selectLockedCell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Erika Schulze</cp:lastModifiedBy>
  <cp:lastPrinted>2007-07-16T08:03:02Z</cp:lastPrinted>
  <dcterms:created xsi:type="dcterms:W3CDTF">2007-06-25T16:07:39Z</dcterms:created>
  <dcterms:modified xsi:type="dcterms:W3CDTF">2008-01-29T01:35:56Z</dcterms:modified>
  <cp:category/>
  <cp:version/>
  <cp:contentType/>
  <cp:contentStatus/>
</cp:coreProperties>
</file>