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20" yWindow="795" windowWidth="17250" windowHeight="11175" activeTab="1"/>
  </bookViews>
  <sheets>
    <sheet name="Reference" sheetId="2" r:id="rId1"/>
    <sheet name="Symbols" sheetId="1" r:id="rId2"/>
    <sheet name="Maucha filled" sheetId="7" r:id="rId3"/>
    <sheet name="Data" sheetId="6" r:id="rId4"/>
    <sheet name="Piper paper" sheetId="5" r:id="rId5"/>
  </sheets>
  <definedNames>
    <definedName name="_xlnm.Print_Area" localSheetId="1">Symbols!$A$1:$R$133</definedName>
  </definedNames>
  <calcPr calcId="125725"/>
</workbook>
</file>

<file path=xl/calcChain.xml><?xml version="1.0" encoding="utf-8"?>
<calcChain xmlns="http://schemas.openxmlformats.org/spreadsheetml/2006/main">
  <c r="S5" i="1"/>
  <c r="S6" s="1"/>
  <c r="S7" s="1"/>
  <c r="S8" s="1"/>
  <c r="S9" s="1"/>
  <c r="S10" s="1"/>
  <c r="S11" s="1"/>
  <c r="S12" s="1"/>
  <c r="S13" s="1"/>
  <c r="S14" s="1"/>
  <c r="S15" s="1"/>
  <c r="S16" s="1"/>
  <c r="S17" s="1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S40" s="1"/>
  <c r="S41" s="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S61" s="1"/>
  <c r="S62" s="1"/>
  <c r="S63" s="1"/>
  <c r="S64" s="1"/>
  <c r="S65" s="1"/>
  <c r="S66" s="1"/>
  <c r="S67" s="1"/>
  <c r="S68" s="1"/>
  <c r="S69" s="1"/>
  <c r="S70" s="1"/>
  <c r="S71" s="1"/>
  <c r="S72" s="1"/>
  <c r="S73" s="1"/>
  <c r="S74" s="1"/>
  <c r="S75" s="1"/>
  <c r="S76" s="1"/>
  <c r="S77" s="1"/>
  <c r="S78" s="1"/>
  <c r="S79" s="1"/>
  <c r="S80" s="1"/>
  <c r="S81" s="1"/>
  <c r="S82" s="1"/>
  <c r="S83" s="1"/>
  <c r="S84" s="1"/>
  <c r="S85" s="1"/>
  <c r="S86" s="1"/>
  <c r="S87" s="1"/>
  <c r="S88" s="1"/>
  <c r="S89" s="1"/>
  <c r="S90" s="1"/>
  <c r="S91" s="1"/>
  <c r="S92" s="1"/>
  <c r="S93" s="1"/>
  <c r="S94" s="1"/>
  <c r="S95" s="1"/>
  <c r="S96" s="1"/>
  <c r="S97" s="1"/>
  <c r="S98" s="1"/>
  <c r="S99" s="1"/>
  <c r="S100" s="1"/>
  <c r="S101" s="1"/>
  <c r="S4"/>
  <c r="S3"/>
  <c r="T3"/>
  <c r="T4"/>
  <c r="T5"/>
  <c r="T6"/>
  <c r="T7"/>
  <c r="T8"/>
  <c r="T9"/>
  <c r="T10"/>
  <c r="T11"/>
  <c r="T12"/>
  <c r="T13"/>
  <c r="T14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A17" i="6"/>
  <c r="T17" i="1" s="1"/>
  <c r="A18" i="6"/>
  <c r="T18" i="1" s="1"/>
  <c r="A19" i="6"/>
  <c r="T19" i="1" s="1"/>
  <c r="A20" i="6"/>
  <c r="T20" i="1" s="1"/>
  <c r="A21" i="6"/>
  <c r="T21" i="1" s="1"/>
  <c r="A22" i="6"/>
  <c r="T22" i="1" s="1"/>
  <c r="A23" i="6"/>
  <c r="T23" i="1" s="1"/>
  <c r="A24" i="6"/>
  <c r="T24" i="1" s="1"/>
  <c r="A25" i="6"/>
  <c r="T25" i="1" s="1"/>
  <c r="A26" i="6"/>
  <c r="T26" i="1" s="1"/>
  <c r="A27" i="6"/>
  <c r="T27" i="1" s="1"/>
  <c r="A28" i="6"/>
  <c r="T28" i="1" s="1"/>
  <c r="A29" i="6"/>
  <c r="T29" i="1" s="1"/>
  <c r="A30" i="6"/>
  <c r="T30" i="1" s="1"/>
  <c r="A31" i="6"/>
  <c r="T31" i="1" s="1"/>
  <c r="A32" i="6"/>
  <c r="T32" i="1" s="1"/>
  <c r="A33" i="6"/>
  <c r="T33" i="1" s="1"/>
  <c r="A34" i="6"/>
  <c r="T34" i="1" s="1"/>
  <c r="A35" i="6"/>
  <c r="T35" i="1" s="1"/>
  <c r="A36" i="6"/>
  <c r="T36" i="1" s="1"/>
  <c r="A37" i="6"/>
  <c r="T37" i="1" s="1"/>
  <c r="A38" i="6"/>
  <c r="T38" i="1" s="1"/>
  <c r="A39" i="6"/>
  <c r="T39" i="1" s="1"/>
  <c r="A40" i="6"/>
  <c r="T40" i="1" s="1"/>
  <c r="A41" i="6"/>
  <c r="T41" i="1" s="1"/>
  <c r="A42" i="6"/>
  <c r="T42" i="1" s="1"/>
  <c r="A43" i="6"/>
  <c r="T43" i="1" s="1"/>
  <c r="A44" i="6"/>
  <c r="T44" i="1" s="1"/>
  <c r="A45" i="6"/>
  <c r="T45" i="1" s="1"/>
  <c r="A46" i="6"/>
  <c r="T46" i="1" s="1"/>
  <c r="A47" i="6"/>
  <c r="T47" i="1" s="1"/>
  <c r="A48" i="6"/>
  <c r="T48" i="1" s="1"/>
  <c r="A49" i="6"/>
  <c r="T49" i="1" s="1"/>
  <c r="A50" i="6"/>
  <c r="T50" i="1" s="1"/>
  <c r="A51" i="6"/>
  <c r="T51" i="1" s="1"/>
  <c r="A52" i="6"/>
  <c r="T52" i="1" s="1"/>
  <c r="A53" i="6"/>
  <c r="T53" i="1" s="1"/>
  <c r="A54" i="6"/>
  <c r="T54" i="1" s="1"/>
  <c r="A55" i="6"/>
  <c r="T55" i="1" s="1"/>
  <c r="A56" i="6"/>
  <c r="T56" i="1" s="1"/>
  <c r="A57" i="6"/>
  <c r="T57" i="1" s="1"/>
  <c r="A58" i="6"/>
  <c r="T58" i="1" s="1"/>
  <c r="A15" i="6"/>
  <c r="T15" i="1" s="1"/>
  <c r="A16" i="6"/>
  <c r="T16" i="1" s="1"/>
  <c r="T2"/>
  <c r="F6"/>
  <c r="A61"/>
  <c r="A59"/>
  <c r="A63"/>
  <c r="A57"/>
  <c r="A55"/>
  <c r="A54"/>
  <c r="A51"/>
  <c r="A50"/>
  <c r="G120"/>
  <c r="E5" i="5"/>
  <c r="E4"/>
  <c r="E3"/>
  <c r="E1"/>
  <c r="G112" i="1"/>
  <c r="M112"/>
  <c r="M120"/>
  <c r="C2" i="5"/>
  <c r="C3"/>
  <c r="C4"/>
  <c r="C5"/>
  <c r="C1"/>
  <c r="B4"/>
  <c r="J19" i="1"/>
  <c r="J16"/>
  <c r="J17" s="1"/>
  <c r="J18" s="1"/>
  <c r="N19"/>
  <c r="N16"/>
  <c r="N17" s="1"/>
  <c r="N18" s="1"/>
  <c r="L19"/>
  <c r="L16"/>
  <c r="L17" s="1"/>
  <c r="L18" s="1"/>
  <c r="H19"/>
  <c r="H16"/>
  <c r="H17" s="1"/>
  <c r="H18" s="1"/>
  <c r="F19"/>
  <c r="F16"/>
  <c r="F17" s="1"/>
  <c r="F18" s="1"/>
  <c r="D19"/>
  <c r="D16"/>
  <c r="D17" s="1"/>
  <c r="D18" s="1"/>
  <c r="B19"/>
  <c r="B16"/>
  <c r="B17" s="1"/>
  <c r="B18" s="1"/>
  <c r="F4"/>
  <c r="J4"/>
  <c r="B4"/>
  <c r="D4"/>
  <c r="H4"/>
  <c r="L4"/>
  <c r="N4"/>
  <c r="B1"/>
  <c r="B28" i="7" l="1"/>
  <c r="J7" i="1"/>
  <c r="B69"/>
  <c r="D7"/>
  <c r="C67"/>
  <c r="D69"/>
  <c r="F7"/>
  <c r="L7"/>
  <c r="D67"/>
  <c r="H7"/>
  <c r="C69"/>
  <c r="N7"/>
  <c r="B67"/>
  <c r="B7"/>
  <c r="B63" l="1"/>
  <c r="C50"/>
  <c r="C52"/>
  <c r="B62"/>
  <c r="B57"/>
  <c r="B50"/>
  <c r="B54"/>
  <c r="B59"/>
  <c r="L9"/>
  <c r="B52"/>
  <c r="B58"/>
  <c r="H9"/>
  <c r="C54"/>
  <c r="B61"/>
  <c r="N9" l="1"/>
  <c r="J11"/>
  <c r="B12" l="1"/>
  <c r="B13" s="1"/>
  <c r="K104"/>
  <c r="M104" s="1"/>
  <c r="K103"/>
  <c r="M103" s="1"/>
  <c r="B103"/>
  <c r="D103" s="1"/>
  <c r="B102"/>
  <c r="K102"/>
  <c r="B104"/>
  <c r="D104" s="1"/>
  <c r="R104" l="1"/>
  <c r="O120"/>
  <c r="L104"/>
  <c r="D14"/>
  <c r="D15" s="1"/>
  <c r="J14"/>
  <c r="J15" s="1"/>
  <c r="M102"/>
  <c r="K107"/>
  <c r="K105"/>
  <c r="M105" s="1"/>
  <c r="C104"/>
  <c r="I120"/>
  <c r="E104"/>
  <c r="I104"/>
  <c r="R103"/>
  <c r="Q102"/>
  <c r="Q103"/>
  <c r="O116"/>
  <c r="I103"/>
  <c r="E103"/>
  <c r="I116" s="1"/>
  <c r="H102"/>
  <c r="L14"/>
  <c r="L15" s="1"/>
  <c r="C42"/>
  <c r="C38"/>
  <c r="C34"/>
  <c r="C30"/>
  <c r="I24"/>
  <c r="B24"/>
  <c r="O22"/>
  <c r="E22"/>
  <c r="B43"/>
  <c r="B39"/>
  <c r="B35"/>
  <c r="B27"/>
  <c r="C24"/>
  <c r="F22"/>
  <c r="D2" i="7"/>
  <c r="B40" i="1"/>
  <c r="B32"/>
  <c r="D24"/>
  <c r="C28"/>
  <c r="E24"/>
  <c r="B41"/>
  <c r="F24"/>
  <c r="L22"/>
  <c r="B34"/>
  <c r="B31"/>
  <c r="L24"/>
  <c r="J22"/>
  <c r="B33"/>
  <c r="C33"/>
  <c r="G24"/>
  <c r="C22"/>
  <c r="B42"/>
  <c r="B30"/>
  <c r="N22"/>
  <c r="K24"/>
  <c r="C43"/>
  <c r="C39"/>
  <c r="C35"/>
  <c r="C31"/>
  <c r="C27"/>
  <c r="M24"/>
  <c r="G22"/>
  <c r="J24"/>
  <c r="B28"/>
  <c r="N24"/>
  <c r="H22"/>
  <c r="C40"/>
  <c r="C32"/>
  <c r="O24"/>
  <c r="I22"/>
  <c r="K22"/>
  <c r="B29"/>
  <c r="C29"/>
  <c r="H24"/>
  <c r="D22"/>
  <c r="B36"/>
  <c r="C36"/>
  <c r="B37"/>
  <c r="B22"/>
  <c r="C41"/>
  <c r="C37"/>
  <c r="M22"/>
  <c r="B38"/>
  <c r="B105"/>
  <c r="D105" s="1"/>
  <c r="B107"/>
  <c r="D102"/>
  <c r="B14"/>
  <c r="B15" s="1"/>
  <c r="F14"/>
  <c r="F15" s="1"/>
  <c r="H14"/>
  <c r="H15" s="1"/>
  <c r="N14"/>
  <c r="N15" s="1"/>
  <c r="N23" l="1"/>
  <c r="O23"/>
  <c r="E5" i="7"/>
  <c r="E117" i="1"/>
  <c r="E118"/>
  <c r="E122"/>
  <c r="E121"/>
  <c r="K121"/>
  <c r="H133"/>
  <c r="G133" s="1"/>
  <c r="K122"/>
  <c r="I14" i="7"/>
  <c r="G10"/>
  <c r="E6"/>
  <c r="C16"/>
  <c r="C12"/>
  <c r="C8"/>
  <c r="C4"/>
  <c r="J16"/>
  <c r="H12"/>
  <c r="F8"/>
  <c r="D4"/>
  <c r="C14"/>
  <c r="C2"/>
  <c r="C3"/>
  <c r="C9"/>
  <c r="C6"/>
  <c r="J14"/>
  <c r="H10"/>
  <c r="C17"/>
  <c r="I12"/>
  <c r="G8"/>
  <c r="E4"/>
  <c r="C5"/>
  <c r="C10"/>
  <c r="F6"/>
  <c r="C15"/>
  <c r="C11"/>
  <c r="C7"/>
  <c r="C13"/>
  <c r="H23" i="1"/>
  <c r="I13" i="7"/>
  <c r="I23" i="1"/>
  <c r="L23"/>
  <c r="D3" i="7"/>
  <c r="M23" i="1"/>
  <c r="G9" i="7"/>
  <c r="D23" i="1"/>
  <c r="E23"/>
  <c r="O112"/>
  <c r="L127" s="1"/>
  <c r="K127" s="1"/>
  <c r="O102"/>
  <c r="P102" s="1"/>
  <c r="B23"/>
  <c r="F7" i="7"/>
  <c r="C23" i="1"/>
  <c r="J15" i="7"/>
  <c r="K23" i="1"/>
  <c r="J23"/>
  <c r="F102"/>
  <c r="G102" s="1"/>
  <c r="I112"/>
  <c r="E102"/>
  <c r="H11" i="7"/>
  <c r="F23" i="1"/>
  <c r="G23"/>
  <c r="K118"/>
  <c r="K117"/>
  <c r="K126" l="1"/>
  <c r="K128"/>
  <c r="L128" s="1"/>
  <c r="K113"/>
  <c r="K114"/>
  <c r="E128"/>
  <c r="F128" s="1"/>
  <c r="E126"/>
  <c r="E113"/>
  <c r="E114"/>
  <c r="F127"/>
  <c r="E127" s="1"/>
  <c r="K129" l="1"/>
  <c r="L126"/>
  <c r="L129" s="1"/>
  <c r="E129"/>
  <c r="F126"/>
  <c r="F129" s="1"/>
</calcChain>
</file>

<file path=xl/sharedStrings.xml><?xml version="1.0" encoding="utf-8"?>
<sst xmlns="http://schemas.openxmlformats.org/spreadsheetml/2006/main" count="335" uniqueCount="225">
  <si>
    <t>Name</t>
  </si>
  <si>
    <t>Spine#</t>
  </si>
  <si>
    <t>Ion</t>
  </si>
  <si>
    <t>Calcium</t>
  </si>
  <si>
    <t>Magnesium</t>
  </si>
  <si>
    <t>Sulphate</t>
  </si>
  <si>
    <t>Chloride</t>
  </si>
  <si>
    <t>Alkalinity</t>
  </si>
  <si>
    <t>Potassium</t>
  </si>
  <si>
    <t>Sodium</t>
  </si>
  <si>
    <t>mg/L</t>
  </si>
  <si>
    <t>Valency</t>
  </si>
  <si>
    <t>AtomicWt</t>
  </si>
  <si>
    <t>meq/L</t>
  </si>
  <si>
    <t>Anions</t>
  </si>
  <si>
    <t>Cations</t>
  </si>
  <si>
    <t>Total</t>
  </si>
  <si>
    <t>FullArea</t>
  </si>
  <si>
    <t>FullRadius</t>
  </si>
  <si>
    <t>IonArea</t>
  </si>
  <si>
    <t>IonRadius</t>
  </si>
  <si>
    <t>Angle</t>
  </si>
  <si>
    <t>StartAngle</t>
  </si>
  <si>
    <t>IonAngle</t>
  </si>
  <si>
    <t>EndAngle</t>
  </si>
  <si>
    <t>x</t>
  </si>
  <si>
    <t>y</t>
  </si>
  <si>
    <t>/* Michael Silberbauer - August to October 1993</t>
  </si>
  <si>
    <t>/* mauchsym.aml is designed to take a set of chemical concentrations</t>
  </si>
  <si>
    <t>/*</t>
  </si>
  <si>
    <t>/* if you wish to cite this programme or use it for any publication.</t>
  </si>
  <si>
    <t>/* The Maucha diagram is the specific case of a radial plot in which the major</t>
  </si>
  <si>
    <t>/* cations are plotted on the right-hand side of an eight-point star and the</t>
  </si>
  <si>
    <t>/* major anions are plotted on the left-hand side.</t>
  </si>
  <si>
    <t>/* Broch and Yake's modification was to use the TDS value to scale the whole</t>
  </si>
  <si>
    <t>/* diagram up or down, so that an idea of the relative concentration of various</t>
  </si>
  <si>
    <t xml:space="preserve">/* samples can be obtained.  A logarithmic scale is necessary when widely </t>
  </si>
  <si>
    <t>/* differing concentrations are plotted on the same map.</t>
  </si>
  <si>
    <t>Circle</t>
  </si>
  <si>
    <t>Equivalents</t>
  </si>
  <si>
    <t xml:space="preserve">/* (K+, Na+, Ca++, Mg++, SO4=, Cl-, HCO3-, CO3=)  </t>
  </si>
  <si>
    <r>
      <t xml:space="preserve">/* and modified by Broch E S &amp; Yake W (1969) A modification of Maucha's ionic diagram to include ionic concentrations. </t>
    </r>
    <r>
      <rPr>
        <i/>
        <sz val="10"/>
        <rFont val="Arial"/>
        <family val="2"/>
      </rPr>
      <t>Limnology and Oceanography</t>
    </r>
    <r>
      <rPr>
        <sz val="10"/>
        <rFont val="Arial"/>
      </rPr>
      <t xml:space="preserve"> 14, 933-935.   </t>
    </r>
  </si>
  <si>
    <t xml:space="preserve">/* Please refer to </t>
  </si>
  <si>
    <r>
      <t xml:space="preserve">/* Silberbauer M J &amp; King J M (1991) Geographical trends in the water chemistry of wetlands in the south-western Cape Province, South Africa. </t>
    </r>
    <r>
      <rPr>
        <i/>
        <sz val="10"/>
        <rFont val="Arial"/>
        <family val="2"/>
      </rPr>
      <t>Southern African Journal of Aquatic Sciences</t>
    </r>
    <r>
      <rPr>
        <sz val="10"/>
        <rFont val="Arial"/>
      </rPr>
      <t xml:space="preserve"> </t>
    </r>
    <r>
      <rPr>
        <b/>
        <sz val="10"/>
        <rFont val="Arial"/>
        <family val="2"/>
      </rPr>
      <t>17</t>
    </r>
    <r>
      <rPr>
        <sz val="10"/>
        <rFont val="Arial"/>
      </rPr>
      <t xml:space="preserve"> (1/2) 82 - 88.</t>
    </r>
  </si>
  <si>
    <t>/* Silberbauer and King's modification was to have a single spine for total alkalinity</t>
  </si>
  <si>
    <t>/* because HCO3-, CO3= are not normally reported separately in the data available</t>
  </si>
  <si>
    <t>/* in South Africa.</t>
  </si>
  <si>
    <t>/* and produce the coordinates required to plot them in the format used by Maucha (1932) Hydrochemische Metoden in der Limnologie.  Binnengewasser 12, 173p,</t>
  </si>
  <si>
    <t>Resource Quality Services Home Page</t>
  </si>
  <si>
    <t>Stiff</t>
  </si>
  <si>
    <t>diagram</t>
  </si>
  <si>
    <t>Mg</t>
  </si>
  <si>
    <t>Cl+SO4</t>
  </si>
  <si>
    <t>Ca</t>
  </si>
  <si>
    <t>Na+K</t>
  </si>
  <si>
    <t>SO4</t>
  </si>
  <si>
    <t>Ca+Mg</t>
  </si>
  <si>
    <t>Cl</t>
  </si>
  <si>
    <t>HCO3+CO2</t>
  </si>
  <si>
    <t>TPmed</t>
  </si>
  <si>
    <t>PO4_Pmed</t>
  </si>
  <si>
    <t>KNmed</t>
  </si>
  <si>
    <t>NH4_Nmed</t>
  </si>
  <si>
    <t>Fmed</t>
  </si>
  <si>
    <t>Qmed</t>
  </si>
  <si>
    <t>Piper</t>
  </si>
  <si>
    <t>c</t>
  </si>
  <si>
    <t>Ion%</t>
  </si>
  <si>
    <t>Cation%</t>
  </si>
  <si>
    <t>Anion%</t>
  </si>
  <si>
    <t>+</t>
  </si>
  <si>
    <t>y =</t>
  </si>
  <si>
    <t>x *</t>
  </si>
  <si>
    <t>60° axes</t>
  </si>
  <si>
    <t>-Cation%</t>
  </si>
  <si>
    <t>Anion equations</t>
  </si>
  <si>
    <t>Cation equations</t>
  </si>
  <si>
    <r>
      <t xml:space="preserve">Cl </t>
    </r>
    <r>
      <rPr>
        <sz val="10"/>
        <rFont val="Arial"/>
        <family val="2"/>
      </rPr>
      <t xml:space="preserve">∩ </t>
    </r>
    <r>
      <rPr>
        <sz val="10"/>
        <rFont val="Arial"/>
      </rPr>
      <t>SO4</t>
    </r>
  </si>
  <si>
    <t>Anion intersection equations</t>
  </si>
  <si>
    <t>Cation intersection equations</t>
  </si>
  <si>
    <r>
      <t xml:space="preserve">Ca </t>
    </r>
    <r>
      <rPr>
        <sz val="10"/>
        <rFont val="Arial"/>
        <family val="2"/>
      </rPr>
      <t xml:space="preserve">∩ </t>
    </r>
    <r>
      <rPr>
        <sz val="10"/>
        <rFont val="Arial"/>
      </rPr>
      <t>Mg</t>
    </r>
  </si>
  <si>
    <t>Ca ∩ Na+K</t>
  </si>
  <si>
    <t>Mg ∩ Na+K</t>
  </si>
  <si>
    <t>Aniont</t>
  </si>
  <si>
    <t>Cationt</t>
  </si>
  <si>
    <t>HCO3+CO2 line</t>
  </si>
  <si>
    <t>SO4 line</t>
  </si>
  <si>
    <t>Cl line</t>
  </si>
  <si>
    <t>Ca line</t>
  </si>
  <si>
    <t>Mg line</t>
  </si>
  <si>
    <t>Na+K line</t>
  </si>
  <si>
    <t>Lozenge intersection</t>
  </si>
  <si>
    <t>Na+K ∩ SO4</t>
  </si>
  <si>
    <t>Cl ∩ HCO</t>
  </si>
  <si>
    <t>SO4 ∩ HCO</t>
  </si>
  <si>
    <t>Woolies sparkling spring water</t>
  </si>
  <si>
    <t>NO3_N</t>
  </si>
  <si>
    <t>Si</t>
  </si>
  <si>
    <t>pH</t>
  </si>
  <si>
    <t>K</t>
  </si>
  <si>
    <t>Na</t>
  </si>
  <si>
    <t>EC</t>
  </si>
  <si>
    <t>TAL</t>
  </si>
  <si>
    <t>TDS</t>
  </si>
  <si>
    <t>Item mg/L</t>
  </si>
  <si>
    <t>A2H027</t>
  </si>
  <si>
    <t>SP118</t>
  </si>
  <si>
    <t>Height</t>
  </si>
  <si>
    <t>Maucha</t>
  </si>
  <si>
    <t>SLH-I1</t>
  </si>
  <si>
    <t>SLH-I2</t>
  </si>
  <si>
    <t>SLH-I3</t>
  </si>
  <si>
    <t>SLH-II4</t>
  </si>
  <si>
    <t>SLH-II5</t>
  </si>
  <si>
    <t>SLH-II6</t>
  </si>
  <si>
    <t>SLH-II7</t>
  </si>
  <si>
    <t>SLH-III8</t>
  </si>
  <si>
    <t>SLH-III9</t>
  </si>
  <si>
    <t>SLH data:</t>
  </si>
  <si>
    <t>Güler et al. (2002)</t>
  </si>
  <si>
    <t>Hydrology Journal 10:455-474</t>
  </si>
  <si>
    <t>Evaluation of graphical and multivariate statistical methods for classification of water chemistry data.</t>
  </si>
  <si>
    <t>00002DF1C</t>
  </si>
  <si>
    <t>H1H006Q01</t>
  </si>
  <si>
    <t>G4H022Q01</t>
  </si>
  <si>
    <t>G2H007Q01</t>
  </si>
  <si>
    <t>G1H018Q01</t>
  </si>
  <si>
    <t>G1H050S01</t>
  </si>
  <si>
    <t>0000185F6</t>
  </si>
  <si>
    <t>Q9H026Q01</t>
  </si>
  <si>
    <t>00002DAE3</t>
  </si>
  <si>
    <t>00002ADB7</t>
  </si>
  <si>
    <t>G2H009Q01</t>
  </si>
  <si>
    <t>0000298D2</t>
  </si>
  <si>
    <t>G1H016Q01</t>
  </si>
  <si>
    <t>G2H010Q01</t>
  </si>
  <si>
    <t>A6H022Q01</t>
  </si>
  <si>
    <t>C5H023Q01</t>
  </si>
  <si>
    <t>A6H021Q01</t>
  </si>
  <si>
    <t>00002D130</t>
  </si>
  <si>
    <t>00002DAE4</t>
  </si>
  <si>
    <t>00002A72A</t>
  </si>
  <si>
    <t>N1H011Q01</t>
  </si>
  <si>
    <t>00002A360</t>
  </si>
  <si>
    <t>0000298D3</t>
  </si>
  <si>
    <t>X2H044Q01</t>
  </si>
  <si>
    <t>0000265C0</t>
  </si>
  <si>
    <t>0000298D1</t>
  </si>
  <si>
    <t>G2H003Q01</t>
  </si>
  <si>
    <t>V7R001Q01</t>
  </si>
  <si>
    <t>0000298D5</t>
  </si>
  <si>
    <t>00002D142</t>
  </si>
  <si>
    <t>000018BC0</t>
  </si>
  <si>
    <t>00002B3A9</t>
  </si>
  <si>
    <t>G1H050R01</t>
  </si>
  <si>
    <t>V1H005Q01</t>
  </si>
  <si>
    <t>H2H016Q01</t>
  </si>
  <si>
    <t>000018BAE</t>
  </si>
  <si>
    <t>region</t>
  </si>
  <si>
    <t>date</t>
  </si>
  <si>
    <t>B20</t>
  </si>
  <si>
    <t>H10</t>
  </si>
  <si>
    <t>G40</t>
  </si>
  <si>
    <t>G22</t>
  </si>
  <si>
    <t>G10</t>
  </si>
  <si>
    <t>Q94</t>
  </si>
  <si>
    <t>B81</t>
  </si>
  <si>
    <t>M10</t>
  </si>
  <si>
    <t>A61</t>
  </si>
  <si>
    <t>C52</t>
  </si>
  <si>
    <t>C24</t>
  </si>
  <si>
    <t>N13</t>
  </si>
  <si>
    <t>W42</t>
  </si>
  <si>
    <t>X22</t>
  </si>
  <si>
    <t>C23</t>
  </si>
  <si>
    <t>V70</t>
  </si>
  <si>
    <t>C32</t>
  </si>
  <si>
    <t>V11</t>
  </si>
  <si>
    <t>H20</t>
  </si>
  <si>
    <t>W41</t>
  </si>
  <si>
    <t>SiO2</t>
  </si>
  <si>
    <t>Eagle Creek Table 12-6</t>
  </si>
  <si>
    <t>Big Spring, Table 15</t>
  </si>
  <si>
    <t>Well, Table 17</t>
  </si>
  <si>
    <t>Hem 10</t>
  </si>
  <si>
    <t>Hem12-6</t>
  </si>
  <si>
    <t>Hem 15-1</t>
  </si>
  <si>
    <t>Hem 17-3</t>
  </si>
  <si>
    <t>Well, Table 10, Hem 1985 USGS</t>
  </si>
  <si>
    <t>Nr</t>
  </si>
  <si>
    <t>Please enter the concentrations in milligrams per litre in the "Data" worksheet and select the row number here:</t>
  </si>
  <si>
    <t>Balance</t>
  </si>
  <si>
    <t xml:space="preserve">Collins </t>
  </si>
  <si>
    <t>bar</t>
  </si>
  <si>
    <t>Pyramid Lake</t>
  </si>
  <si>
    <t>Galat Lider Vigg &amp; Robertson 1981</t>
  </si>
  <si>
    <t>Added Piper, Stiff and filled Maucha 2006-2007</t>
  </si>
  <si>
    <t>Comments from original Arc/Info Macro (in turn adapted from a Pascal routine developed by Michael Silberbauer in 1989):</t>
  </si>
  <si>
    <t>Converted from ArcInfo Macro Language to Quattro and Excel spreadsheets Jan-June 1999</t>
  </si>
  <si>
    <t>Michael Silberbauer, Resource Quality Services (formerly Institute for Water Quality Studies),</t>
  </si>
  <si>
    <t>Roodeplaat Dam</t>
  </si>
  <si>
    <t>Banagher</t>
  </si>
  <si>
    <t>Dept Agric 1969?</t>
  </si>
  <si>
    <t>Chrissiesmeer</t>
  </si>
  <si>
    <t>Schurveberg Hydro bottled water</t>
  </si>
  <si>
    <t>(Highest K ratios in WMS)</t>
  </si>
  <si>
    <t>GK 1</t>
  </si>
  <si>
    <t>Langebaan Colvin, Roychoudhury</t>
  </si>
  <si>
    <t>GK2</t>
  </si>
  <si>
    <t>GK2a</t>
  </si>
  <si>
    <t>GK3</t>
  </si>
  <si>
    <t>LWEG</t>
  </si>
  <si>
    <t>Sal3</t>
  </si>
  <si>
    <t>Sal1</t>
  </si>
  <si>
    <t>Phrag3</t>
  </si>
  <si>
    <t>Phrag2</t>
  </si>
  <si>
    <t>Sal2</t>
  </si>
  <si>
    <t>Modified for Excel 2007 in 2013</t>
  </si>
  <si>
    <t>Department of Water Affairs, Private Bag X313 PRETORIA 0001 South Africa</t>
  </si>
  <si>
    <t>SilberbauerM@dwa.gov.za</t>
  </si>
  <si>
    <t>Now also available in R</t>
  </si>
  <si>
    <t>Examples of unusually high potassium - some may be erroneous</t>
  </si>
  <si>
    <t>Examples from Hem, 1985, Study and Interpretation  of the Chemical Characteristics of Natural Water</t>
  </si>
  <si>
    <t>Fixed total alkalinity calculation 2013-10-01</t>
  </si>
  <si>
    <r>
      <t>CaCO</t>
    </r>
    <r>
      <rPr>
        <vertAlign val="subscript"/>
        <sz val="10"/>
        <rFont val="Arial"/>
        <family val="2"/>
      </rPr>
      <t>3</t>
    </r>
  </si>
</sst>
</file>

<file path=xl/styles.xml><?xml version="1.0" encoding="utf-8"?>
<styleSheet xmlns="http://schemas.openxmlformats.org/spreadsheetml/2006/main">
  <numFmts count="5">
    <numFmt numFmtId="164" formatCode="\$#,##0\ ;\(\$#,##0\)"/>
    <numFmt numFmtId="165" formatCode="0.0"/>
    <numFmt numFmtId="166" formatCode="0.00000"/>
    <numFmt numFmtId="167" formatCode="0.0000"/>
    <numFmt numFmtId="168" formatCode="0.000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</font>
    <font>
      <sz val="10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vertAlign val="subscript"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9"/>
      </patternFill>
    </fill>
    <fill>
      <patternFill patternType="solid">
        <fgColor indexed="10"/>
        <bgColor indexed="8"/>
      </patternFill>
    </fill>
    <fill>
      <patternFill patternType="solid">
        <fgColor indexed="10"/>
        <bgColor indexed="9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9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9"/>
      </patternFill>
    </fill>
    <fill>
      <patternFill patternType="solid">
        <fgColor indexed="47"/>
        <bgColor indexed="8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/>
      <right/>
      <top style="thick">
        <color indexed="11"/>
      </top>
      <bottom/>
      <diagonal/>
    </border>
    <border>
      <left/>
      <right style="thick">
        <color indexed="11"/>
      </right>
      <top style="thick">
        <color indexed="11"/>
      </top>
      <bottom/>
      <diagonal/>
    </border>
    <border>
      <left/>
      <right style="thick">
        <color indexed="11"/>
      </right>
      <top/>
      <bottom/>
      <diagonal/>
    </border>
    <border>
      <left/>
      <right/>
      <top/>
      <bottom style="thick">
        <color indexed="11"/>
      </bottom>
      <diagonal/>
    </border>
    <border>
      <left/>
      <right style="thick">
        <color indexed="11"/>
      </right>
      <top/>
      <bottom style="thick">
        <color indexed="11"/>
      </bottom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/>
      <right style="thick">
        <color indexed="12"/>
      </right>
      <top/>
      <bottom/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/>
      <top style="thick">
        <color indexed="49"/>
      </top>
      <bottom/>
      <diagonal/>
    </border>
    <border>
      <left/>
      <right style="thick">
        <color indexed="49"/>
      </right>
      <top style="thick">
        <color indexed="49"/>
      </top>
      <bottom/>
      <diagonal/>
    </border>
    <border>
      <left/>
      <right style="thick">
        <color indexed="49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 style="thick">
        <color indexed="49"/>
      </right>
      <top/>
      <bottom style="thick">
        <color indexed="49"/>
      </bottom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55"/>
      </top>
      <bottom/>
      <diagonal/>
    </border>
    <border>
      <left/>
      <right style="thick">
        <color indexed="55"/>
      </right>
      <top style="thick">
        <color indexed="55"/>
      </top>
      <bottom/>
      <diagonal/>
    </border>
    <border>
      <left style="thick">
        <color indexed="55"/>
      </left>
      <right/>
      <top/>
      <bottom/>
      <diagonal/>
    </border>
    <border>
      <left/>
      <right style="thick">
        <color indexed="55"/>
      </right>
      <top/>
      <bottom/>
      <diagonal/>
    </border>
    <border>
      <left style="thick">
        <color indexed="55"/>
      </left>
      <right/>
      <top/>
      <bottom style="thick">
        <color indexed="55"/>
      </bottom>
      <diagonal/>
    </border>
    <border>
      <left/>
      <right/>
      <top/>
      <bottom style="thick">
        <color indexed="55"/>
      </bottom>
      <diagonal/>
    </border>
    <border>
      <left/>
      <right style="thick">
        <color indexed="55"/>
      </right>
      <top/>
      <bottom style="thick">
        <color indexed="55"/>
      </bottom>
      <diagonal/>
    </border>
    <border>
      <left style="thick">
        <color indexed="55"/>
      </left>
      <right/>
      <top style="thick">
        <color indexed="55"/>
      </top>
      <bottom/>
      <diagonal/>
    </border>
    <border>
      <left/>
      <right/>
      <top style="thick">
        <color indexed="13"/>
      </top>
      <bottom/>
      <diagonal/>
    </border>
    <border>
      <left/>
      <right style="thick">
        <color indexed="13"/>
      </right>
      <top style="thick">
        <color indexed="13"/>
      </top>
      <bottom/>
      <diagonal/>
    </border>
    <border>
      <left style="thick">
        <color indexed="13"/>
      </left>
      <right/>
      <top/>
      <bottom/>
      <diagonal/>
    </border>
    <border>
      <left/>
      <right style="thick">
        <color indexed="13"/>
      </right>
      <top/>
      <bottom/>
      <diagonal/>
    </border>
    <border>
      <left style="thick">
        <color indexed="13"/>
      </left>
      <right/>
      <top/>
      <bottom style="thick">
        <color indexed="13"/>
      </bottom>
      <diagonal/>
    </border>
    <border>
      <left/>
      <right/>
      <top/>
      <bottom style="thick">
        <color indexed="13"/>
      </bottom>
      <diagonal/>
    </border>
    <border>
      <left/>
      <right style="thick">
        <color indexed="13"/>
      </right>
      <top/>
      <bottom style="thick">
        <color indexed="13"/>
      </bottom>
      <diagonal/>
    </border>
    <border>
      <left style="thick">
        <color indexed="13"/>
      </left>
      <right/>
      <top style="thick">
        <color indexed="13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4"/>
      </left>
      <right style="thick">
        <color indexed="14"/>
      </right>
      <top style="thick">
        <color indexed="14"/>
      </top>
      <bottom style="thick">
        <color indexed="14"/>
      </bottom>
      <diagonal/>
    </border>
    <border>
      <left style="thick">
        <color indexed="13"/>
      </left>
      <right style="thick">
        <color indexed="13"/>
      </right>
      <top style="thick">
        <color indexed="13"/>
      </top>
      <bottom style="thick">
        <color indexed="13"/>
      </bottom>
      <diagonal/>
    </border>
    <border>
      <left style="thick">
        <color indexed="40"/>
      </left>
      <right style="thick">
        <color indexed="40"/>
      </right>
      <top style="thick">
        <color indexed="40"/>
      </top>
      <bottom style="thick">
        <color indexed="4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3" fontId="10" fillId="2" borderId="0" applyFont="0" applyFill="0" applyBorder="0" applyAlignment="0" applyProtection="0"/>
    <xf numFmtId="164" fontId="10" fillId="2" borderId="0" applyFont="0" applyFill="0" applyBorder="0" applyAlignment="0" applyProtection="0"/>
    <xf numFmtId="0" fontId="10" fillId="2" borderId="0" applyFont="0" applyFill="0" applyBorder="0" applyAlignment="0" applyProtection="0"/>
    <xf numFmtId="2" fontId="10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0" fontId="10" fillId="2" borderId="0" applyFont="0" applyFill="0" applyBorder="0" applyAlignment="0" applyProtection="0"/>
    <xf numFmtId="0" fontId="10" fillId="2" borderId="1" applyNumberFormat="0" applyFont="0" applyFill="0" applyAlignment="0" applyProtection="0"/>
  </cellStyleXfs>
  <cellXfs count="216">
    <xf numFmtId="0" fontId="0" fillId="2" borderId="0" xfId="0" applyFill="1"/>
    <xf numFmtId="0" fontId="0" fillId="3" borderId="0" xfId="0" applyFill="1"/>
    <xf numFmtId="0" fontId="0" fillId="2" borderId="0" xfId="0" applyFill="1" applyBorder="1" applyAlignment="1">
      <alignment horizontal="right"/>
    </xf>
    <xf numFmtId="165" fontId="0" fillId="2" borderId="0" xfId="0" applyNumberFormat="1" applyFill="1" applyBorder="1"/>
    <xf numFmtId="0" fontId="0" fillId="2" borderId="0" xfId="0" applyFill="1" applyBorder="1"/>
    <xf numFmtId="0" fontId="5" fillId="2" borderId="0" xfId="7" applyFont="1" applyFill="1" applyAlignment="1" applyProtection="1"/>
    <xf numFmtId="0" fontId="5" fillId="2" borderId="0" xfId="7" applyFill="1" applyAlignment="1" applyProtection="1"/>
    <xf numFmtId="0" fontId="7" fillId="2" borderId="0" xfId="0" applyFont="1" applyFill="1"/>
    <xf numFmtId="0" fontId="7" fillId="4" borderId="0" xfId="0" applyFont="1" applyFill="1" applyAlignment="1" applyProtection="1">
      <alignment horizontal="right"/>
    </xf>
    <xf numFmtId="0" fontId="7" fillId="5" borderId="0" xfId="0" applyFont="1" applyFill="1" applyProtection="1"/>
    <xf numFmtId="0" fontId="8" fillId="4" borderId="0" xfId="0" applyFont="1" applyFill="1" applyProtection="1"/>
    <xf numFmtId="0" fontId="7" fillId="4" borderId="0" xfId="0" applyFont="1" applyFill="1" applyProtection="1"/>
    <xf numFmtId="0" fontId="0" fillId="6" borderId="0" xfId="0" applyFill="1" applyAlignment="1" applyProtection="1">
      <alignment horizontal="right"/>
    </xf>
    <xf numFmtId="0" fontId="0" fillId="6" borderId="0" xfId="0" applyFill="1" applyProtection="1"/>
    <xf numFmtId="0" fontId="0" fillId="3" borderId="0" xfId="0" applyFill="1" applyProtection="1"/>
    <xf numFmtId="0" fontId="0" fillId="2" borderId="0" xfId="0" applyFill="1" applyProtection="1"/>
    <xf numFmtId="0" fontId="0" fillId="4" borderId="0" xfId="0" applyFill="1" applyAlignment="1" applyProtection="1">
      <alignment horizontal="right"/>
    </xf>
    <xf numFmtId="0" fontId="3" fillId="4" borderId="0" xfId="0" applyFont="1" applyFill="1" applyProtection="1"/>
    <xf numFmtId="0" fontId="4" fillId="5" borderId="0" xfId="0" applyFont="1" applyFill="1" applyProtection="1"/>
    <xf numFmtId="0" fontId="0" fillId="7" borderId="0" xfId="0" applyFill="1" applyAlignment="1" applyProtection="1">
      <alignment horizontal="right"/>
    </xf>
    <xf numFmtId="0" fontId="0" fillId="7" borderId="0" xfId="0" applyFill="1" applyProtection="1"/>
    <xf numFmtId="0" fontId="0" fillId="5" borderId="0" xfId="0" applyFill="1" applyAlignment="1" applyProtection="1">
      <alignment horizontal="right"/>
    </xf>
    <xf numFmtId="2" fontId="0" fillId="5" borderId="0" xfId="0" applyNumberFormat="1" applyFill="1" applyProtection="1"/>
    <xf numFmtId="0" fontId="0" fillId="8" borderId="0" xfId="0" applyFill="1" applyAlignment="1" applyProtection="1">
      <alignment horizontal="right"/>
    </xf>
    <xf numFmtId="2" fontId="0" fillId="8" borderId="0" xfId="0" applyNumberFormat="1" applyFill="1" applyProtection="1"/>
    <xf numFmtId="0" fontId="0" fillId="8" borderId="0" xfId="0" applyFill="1" applyAlignment="1" applyProtection="1">
      <alignment horizontal="left"/>
    </xf>
    <xf numFmtId="0" fontId="0" fillId="2" borderId="0" xfId="0" applyFill="1" applyAlignment="1" applyProtection="1">
      <alignment horizontal="right"/>
    </xf>
    <xf numFmtId="0" fontId="3" fillId="8" borderId="0" xfId="0" applyFont="1" applyFill="1" applyAlignment="1" applyProtection="1">
      <alignment horizontal="right"/>
    </xf>
    <xf numFmtId="0" fontId="0" fillId="9" borderId="0" xfId="0" applyFill="1" applyProtection="1"/>
    <xf numFmtId="0" fontId="0" fillId="8" borderId="0" xfId="0" applyFill="1" applyProtection="1"/>
    <xf numFmtId="2" fontId="3" fillId="8" borderId="0" xfId="0" applyNumberFormat="1" applyFont="1" applyFill="1" applyProtection="1"/>
    <xf numFmtId="2" fontId="0" fillId="9" borderId="0" xfId="0" applyNumberFormat="1" applyFill="1" applyProtection="1"/>
    <xf numFmtId="2" fontId="3" fillId="8" borderId="0" xfId="0" applyNumberFormat="1" applyFont="1" applyFill="1" applyAlignment="1" applyProtection="1">
      <alignment horizontal="right"/>
    </xf>
    <xf numFmtId="0" fontId="3" fillId="4" borderId="2" xfId="0" applyFont="1" applyFill="1" applyBorder="1" applyAlignment="1" applyProtection="1">
      <alignment horizontal="right"/>
    </xf>
    <xf numFmtId="2" fontId="0" fillId="4" borderId="3" xfId="4" applyFont="1" applyFill="1" applyBorder="1" applyProtection="1"/>
    <xf numFmtId="2" fontId="0" fillId="5" borderId="3" xfId="4" applyFont="1" applyFill="1" applyBorder="1" applyProtection="1"/>
    <xf numFmtId="0" fontId="0" fillId="4" borderId="4" xfId="0" applyFill="1" applyBorder="1" applyProtection="1"/>
    <xf numFmtId="0" fontId="3" fillId="4" borderId="5" xfId="0" applyFont="1" applyFill="1" applyBorder="1" applyAlignment="1" applyProtection="1">
      <alignment horizontal="right"/>
    </xf>
    <xf numFmtId="2" fontId="0" fillId="4" borderId="0" xfId="4" applyFont="1" applyFill="1" applyBorder="1" applyProtection="1"/>
    <xf numFmtId="2" fontId="0" fillId="5" borderId="0" xfId="4" applyFont="1" applyFill="1" applyBorder="1" applyProtection="1"/>
    <xf numFmtId="0" fontId="0" fillId="4" borderId="6" xfId="0" applyFill="1" applyBorder="1" applyProtection="1"/>
    <xf numFmtId="0" fontId="0" fillId="4" borderId="0" xfId="0" applyFill="1" applyBorder="1" applyProtection="1"/>
    <xf numFmtId="0" fontId="0" fillId="5" borderId="0" xfId="0" applyFill="1" applyBorder="1" applyProtection="1"/>
    <xf numFmtId="0" fontId="0" fillId="2" borderId="5" xfId="0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0" fontId="3" fillId="5" borderId="0" xfId="0" applyFont="1" applyFill="1" applyBorder="1" applyAlignment="1" applyProtection="1">
      <alignment horizontal="right"/>
    </xf>
    <xf numFmtId="0" fontId="3" fillId="5" borderId="6" xfId="0" applyFont="1" applyFill="1" applyBorder="1" applyAlignment="1" applyProtection="1">
      <alignment horizontal="right"/>
    </xf>
    <xf numFmtId="165" fontId="0" fillId="4" borderId="0" xfId="0" applyNumberFormat="1" applyFill="1" applyBorder="1" applyProtection="1"/>
    <xf numFmtId="165" fontId="0" fillId="5" borderId="0" xfId="0" applyNumberFormat="1" applyFill="1" applyBorder="1" applyProtection="1"/>
    <xf numFmtId="165" fontId="0" fillId="5" borderId="6" xfId="0" applyNumberFormat="1" applyFill="1" applyBorder="1" applyProtection="1"/>
    <xf numFmtId="165" fontId="0" fillId="4" borderId="6" xfId="0" applyNumberFormat="1" applyFill="1" applyBorder="1" applyProtection="1"/>
    <xf numFmtId="0" fontId="0" fillId="2" borderId="7" xfId="0" applyFill="1" applyBorder="1" applyAlignment="1" applyProtection="1">
      <alignment horizontal="right"/>
    </xf>
    <xf numFmtId="165" fontId="0" fillId="4" borderId="8" xfId="0" applyNumberFormat="1" applyFill="1" applyBorder="1" applyProtection="1"/>
    <xf numFmtId="165" fontId="0" fillId="5" borderId="8" xfId="0" applyNumberFormat="1" applyFill="1" applyBorder="1" applyProtection="1"/>
    <xf numFmtId="165" fontId="0" fillId="5" borderId="9" xfId="0" applyNumberFormat="1" applyFill="1" applyBorder="1" applyProtection="1"/>
    <xf numFmtId="165" fontId="0" fillId="4" borderId="3" xfId="0" applyNumberFormat="1" applyFill="1" applyBorder="1" applyProtection="1"/>
    <xf numFmtId="165" fontId="0" fillId="5" borderId="4" xfId="0" applyNumberFormat="1" applyFill="1" applyBorder="1" applyProtection="1"/>
    <xf numFmtId="0" fontId="0" fillId="4" borderId="5" xfId="0" applyFill="1" applyBorder="1" applyAlignment="1" applyProtection="1">
      <alignment horizontal="right"/>
    </xf>
    <xf numFmtId="0" fontId="0" fillId="4" borderId="7" xfId="0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right"/>
    </xf>
    <xf numFmtId="165" fontId="0" fillId="2" borderId="0" xfId="0" applyNumberFormat="1" applyFill="1" applyBorder="1" applyProtection="1"/>
    <xf numFmtId="165" fontId="0" fillId="3" borderId="0" xfId="0" applyNumberFormat="1" applyFill="1" applyProtection="1"/>
    <xf numFmtId="165" fontId="0" fillId="2" borderId="0" xfId="0" applyNumberFormat="1" applyFill="1" applyProtection="1"/>
    <xf numFmtId="0" fontId="0" fillId="2" borderId="10" xfId="0" applyFill="1" applyBorder="1" applyProtection="1">
      <protection locked="0"/>
    </xf>
    <xf numFmtId="0" fontId="7" fillId="2" borderId="10" xfId="0" applyFont="1" applyFill="1" applyBorder="1" applyProtection="1">
      <protection locked="0"/>
    </xf>
    <xf numFmtId="0" fontId="0" fillId="10" borderId="0" xfId="0" applyFill="1" applyBorder="1" applyAlignment="1">
      <alignment horizontal="right"/>
    </xf>
    <xf numFmtId="165" fontId="0" fillId="10" borderId="0" xfId="0" applyNumberFormat="1" applyFill="1" applyBorder="1"/>
    <xf numFmtId="165" fontId="0" fillId="10" borderId="0" xfId="0" applyNumberFormat="1" applyFill="1"/>
    <xf numFmtId="2" fontId="0" fillId="10" borderId="0" xfId="0" applyNumberFormat="1" applyFill="1" applyBorder="1"/>
    <xf numFmtId="0" fontId="0" fillId="10" borderId="0" xfId="0" applyFill="1" applyBorder="1"/>
    <xf numFmtId="0" fontId="0" fillId="11" borderId="0" xfId="0" applyFill="1"/>
    <xf numFmtId="165" fontId="0" fillId="11" borderId="0" xfId="0" applyNumberFormat="1" applyFill="1"/>
    <xf numFmtId="10" fontId="0" fillId="2" borderId="0" xfId="8" applyFont="1" applyFill="1" applyBorder="1"/>
    <xf numFmtId="10" fontId="0" fillId="2" borderId="0" xfId="0" applyNumberFormat="1" applyFill="1"/>
    <xf numFmtId="10" fontId="0" fillId="2" borderId="0" xfId="0" applyNumberFormat="1" applyFill="1" applyBorder="1"/>
    <xf numFmtId="0" fontId="0" fillId="2" borderId="0" xfId="0" applyFill="1" applyAlignment="1">
      <alignment horizontal="right"/>
    </xf>
    <xf numFmtId="10" fontId="0" fillId="2" borderId="0" xfId="8" applyFont="1" applyFill="1"/>
    <xf numFmtId="165" fontId="0" fillId="2" borderId="0" xfId="0" applyNumberFormat="1" applyFill="1" applyAlignment="1">
      <alignment horizontal="right"/>
    </xf>
    <xf numFmtId="2" fontId="0" fillId="2" borderId="0" xfId="0" applyNumberFormat="1" applyFill="1"/>
    <xf numFmtId="0" fontId="0" fillId="3" borderId="0" xfId="0" applyFill="1" applyAlignment="1">
      <alignment horizontal="right"/>
    </xf>
    <xf numFmtId="10" fontId="0" fillId="3" borderId="0" xfId="8" applyFont="1" applyFill="1"/>
    <xf numFmtId="10" fontId="0" fillId="3" borderId="0" xfId="0" applyNumberFormat="1" applyFill="1"/>
    <xf numFmtId="168" fontId="0" fillId="2" borderId="0" xfId="0" applyNumberFormat="1" applyFill="1"/>
    <xf numFmtId="167" fontId="0" fillId="3" borderId="0" xfId="0" applyNumberFormat="1" applyFill="1"/>
    <xf numFmtId="165" fontId="0" fillId="2" borderId="0" xfId="0" quotePrefix="1" applyNumberFormat="1" applyFill="1" applyAlignment="1">
      <alignment horizontal="right"/>
    </xf>
    <xf numFmtId="0" fontId="0" fillId="3" borderId="11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167" fontId="0" fillId="3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7" fontId="0" fillId="2" borderId="12" xfId="8" applyNumberFormat="1" applyFont="1" applyFill="1" applyBorder="1" applyAlignment="1">
      <alignment horizontal="center"/>
    </xf>
    <xf numFmtId="167" fontId="0" fillId="3" borderId="0" xfId="0" applyNumberFormat="1" applyFill="1" applyBorder="1" applyAlignment="1">
      <alignment horizontal="right"/>
    </xf>
    <xf numFmtId="165" fontId="0" fillId="3" borderId="0" xfId="0" applyNumberFormat="1" applyFill="1" applyBorder="1" applyAlignment="1">
      <alignment horizontal="right"/>
    </xf>
    <xf numFmtId="0" fontId="0" fillId="3" borderId="0" xfId="0" applyFill="1" applyBorder="1"/>
    <xf numFmtId="0" fontId="0" fillId="2" borderId="13" xfId="0" applyFill="1" applyBorder="1"/>
    <xf numFmtId="167" fontId="0" fillId="3" borderId="14" xfId="0" applyNumberFormat="1" applyFill="1" applyBorder="1" applyAlignment="1">
      <alignment horizontal="right"/>
    </xf>
    <xf numFmtId="165" fontId="0" fillId="3" borderId="14" xfId="0" applyNumberFormat="1" applyFill="1" applyBorder="1" applyAlignment="1">
      <alignment horizontal="right"/>
    </xf>
    <xf numFmtId="0" fontId="0" fillId="3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3" borderId="16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3" borderId="1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67" fontId="0" fillId="2" borderId="17" xfId="0" applyNumberFormat="1" applyFill="1" applyBorder="1" applyAlignment="1">
      <alignment horizontal="center"/>
    </xf>
    <xf numFmtId="0" fontId="0" fillId="2" borderId="18" xfId="0" applyFill="1" applyBorder="1"/>
    <xf numFmtId="167" fontId="0" fillId="3" borderId="19" xfId="0" applyNumberFormat="1" applyFill="1" applyBorder="1" applyAlignment="1">
      <alignment horizontal="right"/>
    </xf>
    <xf numFmtId="165" fontId="0" fillId="3" borderId="19" xfId="0" applyNumberFormat="1" applyFill="1" applyBorder="1" applyAlignment="1">
      <alignment horizontal="right"/>
    </xf>
    <xf numFmtId="0" fontId="0" fillId="3" borderId="19" xfId="0" applyFill="1" applyBorder="1"/>
    <xf numFmtId="0" fontId="0" fillId="2" borderId="19" xfId="0" applyFill="1" applyBorder="1"/>
    <xf numFmtId="0" fontId="0" fillId="2" borderId="20" xfId="0" applyFill="1" applyBorder="1"/>
    <xf numFmtId="0" fontId="0" fillId="3" borderId="21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67" fontId="0" fillId="3" borderId="21" xfId="0" applyNumberForma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67" fontId="0" fillId="2" borderId="22" xfId="0" applyNumberFormat="1" applyFill="1" applyBorder="1" applyAlignment="1">
      <alignment horizontal="center"/>
    </xf>
    <xf numFmtId="0" fontId="0" fillId="2" borderId="23" xfId="0" applyFill="1" applyBorder="1"/>
    <xf numFmtId="167" fontId="0" fillId="3" borderId="24" xfId="0" applyNumberFormat="1" applyFill="1" applyBorder="1" applyAlignment="1">
      <alignment horizontal="right"/>
    </xf>
    <xf numFmtId="165" fontId="0" fillId="3" borderId="24" xfId="0" applyNumberFormat="1" applyFill="1" applyBorder="1" applyAlignment="1">
      <alignment horizontal="right"/>
    </xf>
    <xf numFmtId="0" fontId="0" fillId="3" borderId="24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11" xfId="0" applyFill="1" applyBorder="1"/>
    <xf numFmtId="0" fontId="0" fillId="3" borderId="26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167" fontId="0" fillId="3" borderId="26" xfId="0" applyNumberFormat="1" applyFill="1" applyBorder="1" applyAlignment="1">
      <alignment horizontal="center"/>
    </xf>
    <xf numFmtId="0" fontId="0" fillId="2" borderId="27" xfId="0" applyFill="1" applyBorder="1"/>
    <xf numFmtId="167" fontId="0" fillId="3" borderId="0" xfId="0" applyNumberFormat="1" applyFill="1" applyBorder="1"/>
    <xf numFmtId="0" fontId="0" fillId="2" borderId="28" xfId="0" applyFill="1" applyBorder="1"/>
    <xf numFmtId="167" fontId="0" fillId="3" borderId="29" xfId="0" applyNumberFormat="1" applyFill="1" applyBorder="1"/>
    <xf numFmtId="165" fontId="0" fillId="3" borderId="29" xfId="0" applyNumberFormat="1" applyFill="1" applyBorder="1" applyAlignment="1">
      <alignment horizontal="right"/>
    </xf>
    <xf numFmtId="0" fontId="0" fillId="3" borderId="29" xfId="0" applyFill="1" applyBorder="1"/>
    <xf numFmtId="0" fontId="0" fillId="2" borderId="29" xfId="0" applyFill="1" applyBorder="1"/>
    <xf numFmtId="167" fontId="0" fillId="2" borderId="30" xfId="8" applyNumberFormat="1" applyFont="1" applyFill="1" applyBorder="1" applyAlignment="1">
      <alignment horizontal="center"/>
    </xf>
    <xf numFmtId="0" fontId="0" fillId="3" borderId="31" xfId="0" applyFill="1" applyBorder="1"/>
    <xf numFmtId="0" fontId="0" fillId="3" borderId="32" xfId="0" applyFill="1" applyBorder="1"/>
    <xf numFmtId="0" fontId="0" fillId="2" borderId="33" xfId="0" applyFill="1" applyBorder="1"/>
    <xf numFmtId="0" fontId="0" fillId="2" borderId="16" xfId="0" applyFill="1" applyBorder="1"/>
    <xf numFmtId="0" fontId="0" fillId="3" borderId="34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167" fontId="0" fillId="3" borderId="34" xfId="0" applyNumberFormat="1" applyFill="1" applyBorder="1" applyAlignment="1">
      <alignment horizontal="center"/>
    </xf>
    <xf numFmtId="167" fontId="0" fillId="2" borderId="35" xfId="8" applyNumberFormat="1" applyFont="1" applyFill="1" applyBorder="1" applyAlignment="1">
      <alignment horizontal="center"/>
    </xf>
    <xf numFmtId="0" fontId="0" fillId="2" borderId="36" xfId="0" applyFill="1" applyBorder="1"/>
    <xf numFmtId="0" fontId="0" fillId="3" borderId="37" xfId="0" applyFill="1" applyBorder="1"/>
    <xf numFmtId="0" fontId="0" fillId="2" borderId="38" xfId="0" applyFill="1" applyBorder="1"/>
    <xf numFmtId="167" fontId="0" fillId="3" borderId="39" xfId="0" applyNumberFormat="1" applyFill="1" applyBorder="1"/>
    <xf numFmtId="165" fontId="0" fillId="3" borderId="39" xfId="0" applyNumberFormat="1" applyFill="1" applyBorder="1" applyAlignment="1">
      <alignment horizontal="right"/>
    </xf>
    <xf numFmtId="0" fontId="0" fillId="3" borderId="39" xfId="0" applyFill="1" applyBorder="1"/>
    <xf numFmtId="0" fontId="0" fillId="2" borderId="39" xfId="0" applyFill="1" applyBorder="1"/>
    <xf numFmtId="0" fontId="0" fillId="3" borderId="40" xfId="0" applyFill="1" applyBorder="1"/>
    <xf numFmtId="0" fontId="0" fillId="2" borderId="41" xfId="0" applyFill="1" applyBorder="1"/>
    <xf numFmtId="0" fontId="0" fillId="3" borderId="42" xfId="0" applyFill="1" applyBorder="1" applyAlignment="1">
      <alignment horizontal="right"/>
    </xf>
    <xf numFmtId="0" fontId="0" fillId="2" borderId="42" xfId="0" applyFill="1" applyBorder="1" applyAlignment="1">
      <alignment horizontal="right"/>
    </xf>
    <xf numFmtId="167" fontId="0" fillId="3" borderId="42" xfId="0" applyNumberForma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167" fontId="0" fillId="2" borderId="43" xfId="0" applyNumberFormat="1" applyFill="1" applyBorder="1" applyAlignment="1">
      <alignment horizontal="center"/>
    </xf>
    <xf numFmtId="0" fontId="0" fillId="2" borderId="44" xfId="0" applyFill="1" applyBorder="1"/>
    <xf numFmtId="166" fontId="0" fillId="3" borderId="0" xfId="0" applyNumberFormat="1" applyFill="1" applyBorder="1"/>
    <xf numFmtId="0" fontId="0" fillId="3" borderId="45" xfId="0" applyFill="1" applyBorder="1"/>
    <xf numFmtId="0" fontId="0" fillId="2" borderId="46" xfId="0" applyFill="1" applyBorder="1"/>
    <xf numFmtId="166" fontId="0" fillId="3" borderId="47" xfId="0" applyNumberFormat="1" applyFill="1" applyBorder="1"/>
    <xf numFmtId="0" fontId="0" fillId="2" borderId="47" xfId="0" applyFill="1" applyBorder="1"/>
    <xf numFmtId="0" fontId="0" fillId="3" borderId="47" xfId="0" applyFill="1" applyBorder="1"/>
    <xf numFmtId="0" fontId="0" fillId="3" borderId="48" xfId="0" applyFill="1" applyBorder="1"/>
    <xf numFmtId="0" fontId="0" fillId="2" borderId="49" xfId="0" applyFill="1" applyBorder="1"/>
    <xf numFmtId="167" fontId="0" fillId="2" borderId="0" xfId="0" applyNumberFormat="1" applyFill="1"/>
    <xf numFmtId="0" fontId="3" fillId="2" borderId="0" xfId="0" applyFont="1" applyFill="1"/>
    <xf numFmtId="167" fontId="3" fillId="3" borderId="0" xfId="0" applyNumberFormat="1" applyFont="1" applyFill="1"/>
    <xf numFmtId="167" fontId="3" fillId="2" borderId="0" xfId="0" applyNumberFormat="1" applyFont="1" applyFill="1"/>
    <xf numFmtId="0" fontId="0" fillId="2" borderId="26" xfId="0" applyFill="1" applyBorder="1" applyAlignment="1">
      <alignment horizontal="right"/>
    </xf>
    <xf numFmtId="0" fontId="0" fillId="2" borderId="34" xfId="0" applyFill="1" applyBorder="1" applyAlignment="1">
      <alignment horizontal="right"/>
    </xf>
    <xf numFmtId="0" fontId="0" fillId="2" borderId="21" xfId="0" applyFill="1" applyBorder="1" applyAlignment="1">
      <alignment horizontal="lef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3" fillId="3" borderId="0" xfId="0" applyFont="1" applyFill="1"/>
    <xf numFmtId="167" fontId="3" fillId="3" borderId="0" xfId="0" applyNumberFormat="1" applyFont="1" applyFill="1" applyBorder="1"/>
    <xf numFmtId="0" fontId="3" fillId="3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2" borderId="50" xfId="0" applyFill="1" applyBorder="1" applyProtection="1">
      <protection locked="0"/>
    </xf>
    <xf numFmtId="0" fontId="0" fillId="2" borderId="51" xfId="0" applyFill="1" applyBorder="1" applyProtection="1">
      <protection locked="0"/>
    </xf>
    <xf numFmtId="0" fontId="0" fillId="2" borderId="52" xfId="0" applyFill="1" applyBorder="1" applyProtection="1">
      <protection locked="0"/>
    </xf>
    <xf numFmtId="0" fontId="0" fillId="2" borderId="53" xfId="0" applyFill="1" applyBorder="1" applyProtection="1">
      <protection locked="0"/>
    </xf>
    <xf numFmtId="0" fontId="0" fillId="2" borderId="54" xfId="0" applyFill="1" applyBorder="1" applyProtection="1">
      <protection locked="0"/>
    </xf>
    <xf numFmtId="165" fontId="3" fillId="2" borderId="0" xfId="0" applyNumberFormat="1" applyFont="1" applyFill="1" applyAlignment="1">
      <alignment horizontal="right"/>
    </xf>
    <xf numFmtId="165" fontId="11" fillId="2" borderId="0" xfId="0" applyNumberFormat="1" applyFont="1" applyFill="1"/>
    <xf numFmtId="165" fontId="0" fillId="2" borderId="0" xfId="0" applyNumberFormat="1" applyFill="1"/>
    <xf numFmtId="165" fontId="12" fillId="2" borderId="0" xfId="0" applyNumberFormat="1" applyFont="1" applyFill="1"/>
    <xf numFmtId="0" fontId="11" fillId="2" borderId="0" xfId="0" applyFont="1" applyFill="1"/>
    <xf numFmtId="0" fontId="7" fillId="2" borderId="0" xfId="0" applyFont="1" applyFill="1" applyAlignment="1" applyProtection="1">
      <alignment horizontal="center"/>
    </xf>
    <xf numFmtId="0" fontId="0" fillId="2" borderId="55" xfId="0" applyFill="1" applyBorder="1" applyProtection="1">
      <protection locked="0"/>
    </xf>
    <xf numFmtId="0" fontId="0" fillId="2" borderId="0" xfId="0" applyFill="1" applyAlignment="1">
      <alignment horizontal="left"/>
    </xf>
    <xf numFmtId="0" fontId="0" fillId="12" borderId="0" xfId="0" applyFill="1" applyAlignment="1">
      <alignment horizontal="left"/>
    </xf>
    <xf numFmtId="0" fontId="11" fillId="12" borderId="0" xfId="0" applyFont="1" applyFill="1"/>
    <xf numFmtId="0" fontId="0" fillId="12" borderId="0" xfId="0" applyFill="1"/>
    <xf numFmtId="0" fontId="0" fillId="12" borderId="0" xfId="0" applyFill="1" applyAlignment="1">
      <alignment horizontal="right"/>
    </xf>
    <xf numFmtId="10" fontId="0" fillId="2" borderId="0" xfId="8" applyFont="1" applyFill="1" applyProtection="1"/>
    <xf numFmtId="0" fontId="3" fillId="2" borderId="0" xfId="0" applyFont="1" applyFill="1" applyAlignment="1" applyProtection="1">
      <alignment horizontal="right"/>
    </xf>
    <xf numFmtId="0" fontId="0" fillId="2" borderId="0" xfId="0" applyFill="1" applyAlignment="1"/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2" borderId="0" xfId="0" applyNumberFormat="1" applyFill="1"/>
    <xf numFmtId="0" fontId="11" fillId="3" borderId="0" xfId="0" applyFont="1" applyFill="1" applyAlignment="1" applyProtection="1">
      <alignment horizontal="right" shrinkToFit="1"/>
    </xf>
    <xf numFmtId="0" fontId="3" fillId="2" borderId="0" xfId="0" applyNumberFormat="1" applyFont="1" applyFill="1" applyAlignment="1">
      <alignment horizontal="left"/>
    </xf>
    <xf numFmtId="0" fontId="11" fillId="13" borderId="56" xfId="0" applyFont="1" applyFill="1" applyBorder="1" applyAlignment="1">
      <alignment wrapText="1"/>
    </xf>
    <xf numFmtId="0" fontId="11" fillId="13" borderId="56" xfId="0" applyFont="1" applyFill="1" applyBorder="1" applyAlignment="1">
      <alignment horizontal="left" wrapText="1"/>
    </xf>
    <xf numFmtId="2" fontId="11" fillId="13" borderId="56" xfId="0" applyNumberFormat="1" applyFont="1" applyFill="1" applyBorder="1" applyAlignment="1">
      <alignment horizontal="right" wrapText="1"/>
    </xf>
    <xf numFmtId="0" fontId="11" fillId="13" borderId="56" xfId="0" applyFont="1" applyFill="1" applyBorder="1" applyAlignment="1">
      <alignment horizontal="right" wrapText="1"/>
    </xf>
    <xf numFmtId="0" fontId="11" fillId="13" borderId="0" xfId="0" applyFont="1" applyFill="1" applyBorder="1" applyAlignment="1">
      <alignment horizontal="left" wrapText="1"/>
    </xf>
    <xf numFmtId="0" fontId="11" fillId="13" borderId="0" xfId="0" applyFont="1" applyFill="1" applyBorder="1" applyAlignment="1">
      <alignment horizontal="right" wrapText="1"/>
    </xf>
    <xf numFmtId="1" fontId="0" fillId="2" borderId="0" xfId="0" applyNumberFormat="1" applyFill="1"/>
    <xf numFmtId="1" fontId="0" fillId="2" borderId="0" xfId="0" applyNumberFormat="1" applyFill="1" applyAlignment="1">
      <alignment horizontal="right"/>
    </xf>
    <xf numFmtId="1" fontId="13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1" fillId="3" borderId="0" xfId="0" applyFont="1" applyFill="1" applyProtection="1"/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Percent" xfId="8" builtinId="5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>
        <c:manualLayout>
          <c:layoutTarget val="inner"/>
          <c:xMode val="edge"/>
          <c:yMode val="edge"/>
          <c:x val="1.2562814070351759E-2"/>
          <c:y val="1.6216237616445337E-2"/>
          <c:w val="0.97738693467336679"/>
          <c:h val="0.97297425698672069"/>
        </c:manualLayout>
      </c:layout>
      <c:scatterChart>
        <c:scatterStyle val="lineMarker"/>
        <c:ser>
          <c:idx val="1"/>
          <c:order val="0"/>
          <c:tx>
            <c:v>Calcium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Symbols!$B$21:$B$25</c:f>
              <c:numCache>
                <c:formatCode>0.0</c:formatCode>
                <c:ptCount val="5"/>
                <c:pt idx="0">
                  <c:v>0</c:v>
                </c:pt>
                <c:pt idx="1">
                  <c:v>36.808723284490654</c:v>
                </c:pt>
                <c:pt idx="2">
                  <c:v>11.401669317467825</c:v>
                </c:pt>
                <c:pt idx="3">
                  <c:v>52.055395682565035</c:v>
                </c:pt>
                <c:pt idx="4">
                  <c:v>0</c:v>
                </c:pt>
              </c:numCache>
            </c:numRef>
          </c:xVal>
          <c:yVal>
            <c:numRef>
              <c:f>Symbols!$C$21:$C$25</c:f>
              <c:numCache>
                <c:formatCode>0.0</c:formatCode>
                <c:ptCount val="5"/>
                <c:pt idx="0">
                  <c:v>0</c:v>
                </c:pt>
                <c:pt idx="1">
                  <c:v>-36.808723284490675</c:v>
                </c:pt>
                <c:pt idx="2">
                  <c:v>-4.7227260649883593</c:v>
                </c:pt>
                <c:pt idx="3">
                  <c:v>-1.275511751803028E-14</c:v>
                </c:pt>
                <c:pt idx="4">
                  <c:v>0</c:v>
                </c:pt>
              </c:numCache>
            </c:numRef>
          </c:yVal>
        </c:ser>
        <c:ser>
          <c:idx val="2"/>
          <c:order val="1"/>
          <c:tx>
            <c:v>Magnesium</c:v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Symbols!$D$21:$D$25</c:f>
              <c:numCache>
                <c:formatCode>0.0</c:formatCode>
                <c:ptCount val="5"/>
                <c:pt idx="0">
                  <c:v>0</c:v>
                </c:pt>
                <c:pt idx="1">
                  <c:v>-9.5663381385227099E-15</c:v>
                </c:pt>
                <c:pt idx="2">
                  <c:v>5.0485471377507203</c:v>
                </c:pt>
                <c:pt idx="3">
                  <c:v>36.808723284490654</c:v>
                </c:pt>
                <c:pt idx="4">
                  <c:v>0</c:v>
                </c:pt>
              </c:numCache>
            </c:numRef>
          </c:xVal>
          <c:yVal>
            <c:numRef>
              <c:f>Symbols!$E$21:$E$25</c:f>
              <c:numCache>
                <c:formatCode>0.0</c:formatCode>
                <c:ptCount val="5"/>
                <c:pt idx="0">
                  <c:v>0</c:v>
                </c:pt>
                <c:pt idx="1">
                  <c:v>-52.055395682565035</c:v>
                </c:pt>
                <c:pt idx="2">
                  <c:v>-12.188270970237649</c:v>
                </c:pt>
                <c:pt idx="3">
                  <c:v>-36.808723284490675</c:v>
                </c:pt>
                <c:pt idx="4">
                  <c:v>0</c:v>
                </c:pt>
              </c:numCache>
            </c:numRef>
          </c:yVal>
        </c:ser>
        <c:ser>
          <c:idx val="3"/>
          <c:order val="2"/>
          <c:tx>
            <c:v>Sulphate</c:v>
          </c:tx>
          <c:spPr>
            <a:ln w="25400">
              <a:solidFill>
                <a:srgbClr val="3333CC"/>
              </a:solidFill>
              <a:prstDash val="solid"/>
            </a:ln>
          </c:spPr>
          <c:marker>
            <c:symbol val="none"/>
          </c:marker>
          <c:xVal>
            <c:numRef>
              <c:f>Symbols!$F$21:$F$25</c:f>
              <c:numCache>
                <c:formatCode>0.0</c:formatCode>
                <c:ptCount val="5"/>
                <c:pt idx="0">
                  <c:v>0</c:v>
                </c:pt>
                <c:pt idx="1">
                  <c:v>-36.808723284490675</c:v>
                </c:pt>
                <c:pt idx="2">
                  <c:v>-53.789503545526365</c:v>
                </c:pt>
                <c:pt idx="3">
                  <c:v>-9.5663381385227099E-15</c:v>
                </c:pt>
                <c:pt idx="4">
                  <c:v>0</c:v>
                </c:pt>
              </c:numCache>
            </c:numRef>
          </c:xVal>
          <c:yVal>
            <c:numRef>
              <c:f>Symbols!$G$21:$G$25</c:f>
              <c:numCache>
                <c:formatCode>0.0</c:formatCode>
                <c:ptCount val="5"/>
                <c:pt idx="0">
                  <c:v>0</c:v>
                </c:pt>
                <c:pt idx="1">
                  <c:v>-36.808723284490661</c:v>
                </c:pt>
                <c:pt idx="2">
                  <c:v>-129.85934897292555</c:v>
                </c:pt>
                <c:pt idx="3">
                  <c:v>-52.055395682565035</c:v>
                </c:pt>
                <c:pt idx="4">
                  <c:v>0</c:v>
                </c:pt>
              </c:numCache>
            </c:numRef>
          </c:yVal>
        </c:ser>
        <c:ser>
          <c:idx val="4"/>
          <c:order val="3"/>
          <c:tx>
            <c:v>Chloride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Symbols!$H$21:$H$25</c:f>
              <c:numCache>
                <c:formatCode>0.0</c:formatCode>
                <c:ptCount val="5"/>
                <c:pt idx="0">
                  <c:v>0</c:v>
                </c:pt>
                <c:pt idx="1">
                  <c:v>-52.055395682565035</c:v>
                </c:pt>
                <c:pt idx="2">
                  <c:v>-14.284401445514064</c:v>
                </c:pt>
                <c:pt idx="3">
                  <c:v>-36.808723284490675</c:v>
                </c:pt>
                <c:pt idx="4">
                  <c:v>0</c:v>
                </c:pt>
              </c:numCache>
            </c:numRef>
          </c:xVal>
          <c:yVal>
            <c:numRef>
              <c:f>Symbols!$I$21:$I$25</c:f>
              <c:numCache>
                <c:formatCode>0.0</c:formatCode>
                <c:ptCount val="5"/>
                <c:pt idx="0">
                  <c:v>0</c:v>
                </c:pt>
                <c:pt idx="1">
                  <c:v>6.37755875901514E-15</c:v>
                </c:pt>
                <c:pt idx="2">
                  <c:v>-5.9167928091137671</c:v>
                </c:pt>
                <c:pt idx="3">
                  <c:v>-36.808723284490661</c:v>
                </c:pt>
                <c:pt idx="4">
                  <c:v>0</c:v>
                </c:pt>
              </c:numCache>
            </c:numRef>
          </c:yVal>
        </c:ser>
        <c:ser>
          <c:idx val="5"/>
          <c:order val="4"/>
          <c:tx>
            <c:v>TAlkalinity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Symbols!$J$21:$J$25</c:f>
              <c:numCache>
                <c:formatCode>0.0</c:formatCode>
                <c:ptCount val="5"/>
                <c:pt idx="0">
                  <c:v>0</c:v>
                </c:pt>
                <c:pt idx="1">
                  <c:v>-36.808723284490661</c:v>
                </c:pt>
                <c:pt idx="2">
                  <c:v>-52.937631194791358</c:v>
                </c:pt>
                <c:pt idx="3">
                  <c:v>-52.055395682565035</c:v>
                </c:pt>
                <c:pt idx="4">
                  <c:v>0</c:v>
                </c:pt>
              </c:numCache>
            </c:numRef>
          </c:xVal>
          <c:yVal>
            <c:numRef>
              <c:f>Symbols!$K$21:$K$25</c:f>
              <c:numCache>
                <c:formatCode>0.0</c:formatCode>
                <c:ptCount val="5"/>
                <c:pt idx="0">
                  <c:v>0</c:v>
                </c:pt>
                <c:pt idx="1">
                  <c:v>36.808723284490668</c:v>
                </c:pt>
                <c:pt idx="2">
                  <c:v>21.927484800787621</c:v>
                </c:pt>
                <c:pt idx="3">
                  <c:v>6.37755875901514E-15</c:v>
                </c:pt>
                <c:pt idx="4">
                  <c:v>0</c:v>
                </c:pt>
              </c:numCache>
            </c:numRef>
          </c:yVal>
        </c:ser>
        <c:ser>
          <c:idx val="6"/>
          <c:order val="5"/>
          <c:tx>
            <c:v>Potassium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Symbols!$L$21:$L$25</c:f>
              <c:numCache>
                <c:formatCode>0.0</c:formatCode>
                <c:ptCount val="5"/>
                <c:pt idx="0">
                  <c:v>0</c:v>
                </c:pt>
                <c:pt idx="1">
                  <c:v>36.808723284490668</c:v>
                </c:pt>
                <c:pt idx="2">
                  <c:v>0</c:v>
                </c:pt>
                <c:pt idx="3">
                  <c:v>3.18877937950757E-15</c:v>
                </c:pt>
                <c:pt idx="4">
                  <c:v>0</c:v>
                </c:pt>
              </c:numCache>
            </c:numRef>
          </c:xVal>
          <c:yVal>
            <c:numRef>
              <c:f>Symbols!$M$21:$M$25</c:f>
              <c:numCache>
                <c:formatCode>0.0</c:formatCode>
                <c:ptCount val="5"/>
                <c:pt idx="0">
                  <c:v>0</c:v>
                </c:pt>
                <c:pt idx="1">
                  <c:v>36.808723284490661</c:v>
                </c:pt>
                <c:pt idx="2">
                  <c:v>0</c:v>
                </c:pt>
                <c:pt idx="3">
                  <c:v>52.055395682565035</c:v>
                </c:pt>
                <c:pt idx="4">
                  <c:v>0</c:v>
                </c:pt>
              </c:numCache>
            </c:numRef>
          </c:yVal>
        </c:ser>
        <c:ser>
          <c:idx val="7"/>
          <c:order val="6"/>
          <c:tx>
            <c:v>Sodium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Symbols!$N$21:$N$25</c:f>
              <c:numCache>
                <c:formatCode>0.0</c:formatCode>
                <c:ptCount val="5"/>
                <c:pt idx="0">
                  <c:v>0</c:v>
                </c:pt>
                <c:pt idx="1">
                  <c:v>52.055395682565035</c:v>
                </c:pt>
                <c:pt idx="2">
                  <c:v>164.0719951222494</c:v>
                </c:pt>
                <c:pt idx="3">
                  <c:v>36.808723284490668</c:v>
                </c:pt>
                <c:pt idx="4">
                  <c:v>0</c:v>
                </c:pt>
              </c:numCache>
            </c:numRef>
          </c:xVal>
          <c:yVal>
            <c:numRef>
              <c:f>Symbols!$O$21:$O$25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67.960845585248009</c:v>
                </c:pt>
                <c:pt idx="3">
                  <c:v>36.808723284490661</c:v>
                </c:pt>
                <c:pt idx="4">
                  <c:v>0</c:v>
                </c:pt>
              </c:numCache>
            </c:numRef>
          </c:yVal>
        </c:ser>
        <c:ser>
          <c:idx val="8"/>
          <c:order val="7"/>
          <c:tx>
            <c:v>Circle</c:v>
          </c:tx>
          <c:spPr>
            <a:ln w="12700">
              <a:solidFill>
                <a:srgbClr val="424242"/>
              </a:solidFill>
              <a:prstDash val="sysDash"/>
            </a:ln>
          </c:spPr>
          <c:marker>
            <c:symbol val="none"/>
          </c:marker>
          <c:xVal>
            <c:numRef>
              <c:f>Symbols!$B$27:$B$43</c:f>
              <c:numCache>
                <c:formatCode>0.0</c:formatCode>
                <c:ptCount val="17"/>
                <c:pt idx="0">
                  <c:v>52.055395682565035</c:v>
                </c:pt>
                <c:pt idx="1">
                  <c:v>48.092914627898239</c:v>
                </c:pt>
                <c:pt idx="2">
                  <c:v>36.808723284490668</c:v>
                </c:pt>
                <c:pt idx="3">
                  <c:v>19.920737492926865</c:v>
                </c:pt>
                <c:pt idx="4">
                  <c:v>3.18877937950757E-15</c:v>
                </c:pt>
                <c:pt idx="5">
                  <c:v>-19.920737492926861</c:v>
                </c:pt>
                <c:pt idx="6">
                  <c:v>-36.808723284490661</c:v>
                </c:pt>
                <c:pt idx="7">
                  <c:v>-48.092914627898239</c:v>
                </c:pt>
                <c:pt idx="8">
                  <c:v>-52.055395682565035</c:v>
                </c:pt>
                <c:pt idx="9">
                  <c:v>-48.092914627898246</c:v>
                </c:pt>
                <c:pt idx="10">
                  <c:v>-36.808723284490675</c:v>
                </c:pt>
                <c:pt idx="11">
                  <c:v>-19.92073749292685</c:v>
                </c:pt>
                <c:pt idx="12">
                  <c:v>-9.5663381385227099E-15</c:v>
                </c:pt>
                <c:pt idx="13">
                  <c:v>19.920737492926875</c:v>
                </c:pt>
                <c:pt idx="14">
                  <c:v>36.808723284490654</c:v>
                </c:pt>
                <c:pt idx="15">
                  <c:v>48.092914627898246</c:v>
                </c:pt>
                <c:pt idx="16">
                  <c:v>52.055395682565035</c:v>
                </c:pt>
              </c:numCache>
            </c:numRef>
          </c:xVal>
          <c:yVal>
            <c:numRef>
              <c:f>Symbols!$C$27:$C$43</c:f>
              <c:numCache>
                <c:formatCode>0.0</c:formatCode>
                <c:ptCount val="17"/>
                <c:pt idx="0">
                  <c:v>0</c:v>
                </c:pt>
                <c:pt idx="1">
                  <c:v>19.920737492926865</c:v>
                </c:pt>
                <c:pt idx="2">
                  <c:v>36.808723284490661</c:v>
                </c:pt>
                <c:pt idx="3">
                  <c:v>48.092914627898239</c:v>
                </c:pt>
                <c:pt idx="4">
                  <c:v>52.055395682565035</c:v>
                </c:pt>
                <c:pt idx="5">
                  <c:v>48.092914627898239</c:v>
                </c:pt>
                <c:pt idx="6">
                  <c:v>36.808723284490668</c:v>
                </c:pt>
                <c:pt idx="7">
                  <c:v>19.920737492926868</c:v>
                </c:pt>
                <c:pt idx="8">
                  <c:v>6.37755875901514E-15</c:v>
                </c:pt>
                <c:pt idx="9">
                  <c:v>-19.920737492926857</c:v>
                </c:pt>
                <c:pt idx="10">
                  <c:v>-36.808723284490661</c:v>
                </c:pt>
                <c:pt idx="11">
                  <c:v>-48.092914627898246</c:v>
                </c:pt>
                <c:pt idx="12">
                  <c:v>-52.055395682565035</c:v>
                </c:pt>
                <c:pt idx="13">
                  <c:v>-48.092914627898232</c:v>
                </c:pt>
                <c:pt idx="14">
                  <c:v>-36.808723284490675</c:v>
                </c:pt>
                <c:pt idx="15">
                  <c:v>-19.92073749292685</c:v>
                </c:pt>
                <c:pt idx="16">
                  <c:v>-1.275511751803028E-14</c:v>
                </c:pt>
              </c:numCache>
            </c:numRef>
          </c:yVal>
        </c:ser>
        <c:axId val="64273408"/>
        <c:axId val="62268160"/>
      </c:scatterChart>
      <c:valAx>
        <c:axId val="64273408"/>
        <c:scaling>
          <c:orientation val="minMax"/>
          <c:max val="200"/>
          <c:min val="-200"/>
        </c:scaling>
        <c:delete val="1"/>
        <c:axPos val="b"/>
        <c:numFmt formatCode="0.0" sourceLinked="1"/>
        <c:tickLblPos val="none"/>
        <c:crossAx val="62268160"/>
        <c:crosses val="autoZero"/>
        <c:crossBetween val="midCat"/>
      </c:valAx>
      <c:valAx>
        <c:axId val="62268160"/>
        <c:scaling>
          <c:orientation val="minMax"/>
          <c:max val="180"/>
          <c:min val="-180"/>
        </c:scaling>
        <c:delete val="1"/>
        <c:axPos val="l"/>
        <c:numFmt formatCode="0.0" sourceLinked="1"/>
        <c:tickLblPos val="none"/>
        <c:crossAx val="64273408"/>
        <c:crosses val="autoZero"/>
        <c:crossBetween val="midCat"/>
        <c:majorUnit val="20"/>
        <c:minorUnit val="4"/>
      </c:valAx>
      <c:spPr>
        <a:noFill/>
        <a:ln w="25400">
          <a:noFill/>
        </a:ln>
      </c:spPr>
    </c:plotArea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2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56" r="0.75000000000000056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>
        <c:manualLayout>
          <c:layoutTarget val="inner"/>
          <c:xMode val="edge"/>
          <c:yMode val="edge"/>
          <c:x val="6.2841697729085891E-2"/>
          <c:y val="1.3368983957219251E-2"/>
          <c:w val="0.87705152047985169"/>
          <c:h val="0.89304812834224556"/>
        </c:manualLayout>
      </c:layout>
      <c:scatterChart>
        <c:scatterStyle val="lineMarker"/>
        <c:ser>
          <c:idx val="1"/>
          <c:order val="0"/>
          <c:tx>
            <c:v>Na+K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Symbols!$B$50:$B$51</c:f>
              <c:numCache>
                <c:formatCode>General</c:formatCode>
                <c:ptCount val="2"/>
                <c:pt idx="0" formatCode="0.00">
                  <c:v>-26.568682871678917</c:v>
                </c:pt>
                <c:pt idx="1">
                  <c:v>0</c:v>
                </c:pt>
              </c:numCache>
            </c:numRef>
          </c:xVal>
          <c:yVal>
            <c:numRef>
              <c:f>Symbols!$A$50:$A$51</c:f>
              <c:numCache>
                <c:formatCode>0.0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</c:ser>
        <c:ser>
          <c:idx val="2"/>
          <c:order val="1"/>
          <c:tx>
            <c:v>Cl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Symbols!$C$50:$C$51</c:f>
              <c:numCache>
                <c:formatCode>General</c:formatCode>
                <c:ptCount val="2"/>
                <c:pt idx="0" formatCode="0.0">
                  <c:v>2.31311706629055</c:v>
                </c:pt>
                <c:pt idx="1">
                  <c:v>0</c:v>
                </c:pt>
              </c:numCache>
            </c:numRef>
          </c:xVal>
          <c:yVal>
            <c:numRef>
              <c:f>Symbols!$A$50:$A$51</c:f>
              <c:numCache>
                <c:formatCode>0.0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</c:ser>
        <c:ser>
          <c:idx val="3"/>
          <c:order val="2"/>
          <c:tx>
            <c:v>Ca</c:v>
          </c:tx>
          <c:spPr>
            <a:ln w="38100">
              <a:solidFill>
                <a:srgbClr val="3333CC"/>
              </a:solidFill>
              <a:prstDash val="solid"/>
            </a:ln>
          </c:spPr>
          <c:marker>
            <c:symbol val="none"/>
          </c:marker>
          <c:xVal>
            <c:numRef>
              <c:f>Symbols!$B$52:$B$53</c:f>
              <c:numCache>
                <c:formatCode>General</c:formatCode>
                <c:ptCount val="2"/>
                <c:pt idx="0" formatCode="0.00">
                  <c:v>-1.8463073852295411</c:v>
                </c:pt>
                <c:pt idx="1">
                  <c:v>0</c:v>
                </c:pt>
              </c:numCache>
            </c:numRef>
          </c:xVal>
          <c:yVal>
            <c:numRef>
              <c:f>Symbols!$A$52:$A$53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</c:ser>
        <c:ser>
          <c:idx val="4"/>
          <c:order val="3"/>
          <c:tx>
            <c:v>HCO3</c:v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Symbols!$C$52:$C$53</c:f>
              <c:numCache>
                <c:formatCode>General</c:formatCode>
                <c:ptCount val="2"/>
                <c:pt idx="0" formatCode="0.0">
                  <c:v>8.5723534607130443</c:v>
                </c:pt>
                <c:pt idx="1">
                  <c:v>0</c:v>
                </c:pt>
              </c:numCache>
            </c:numRef>
          </c:xVal>
          <c:yVal>
            <c:numRef>
              <c:f>Symbols!$A$52:$A$53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</c:ser>
        <c:ser>
          <c:idx val="5"/>
          <c:order val="4"/>
          <c:tx>
            <c:v>Mg</c:v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Symbols!$B$54:$B$55</c:f>
              <c:numCache>
                <c:formatCode>0.0</c:formatCode>
                <c:ptCount val="2"/>
                <c:pt idx="0" formatCode="0.00">
                  <c:v>-1.9736842105263157</c:v>
                </c:pt>
                <c:pt idx="1">
                  <c:v>0</c:v>
                </c:pt>
              </c:numCache>
            </c:numRef>
          </c:xVal>
          <c:yVal>
            <c:numRef>
              <c:f>Symbols!$A$54:$A$55</c:f>
              <c:numCache>
                <c:formatCode>0.0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</c:ser>
        <c:ser>
          <c:idx val="6"/>
          <c:order val="5"/>
          <c:tx>
            <c:v>SO4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Symbols!$C$54:$C$55</c:f>
              <c:numCache>
                <c:formatCode>0.0</c:formatCode>
                <c:ptCount val="2"/>
                <c:pt idx="0">
                  <c:v>21.028523839267123</c:v>
                </c:pt>
                <c:pt idx="1">
                  <c:v>0</c:v>
                </c:pt>
              </c:numCache>
            </c:numRef>
          </c:xVal>
          <c:yVal>
            <c:numRef>
              <c:f>Symbols!$A$54:$A$55</c:f>
              <c:numCache>
                <c:formatCode>0.0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</c:ser>
        <c:ser>
          <c:idx val="0"/>
          <c:order val="6"/>
          <c:tx>
            <c:v>Outline</c:v>
          </c:tx>
          <c:spPr>
            <a:ln w="3175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Symbols!$B$57:$B$63</c:f>
              <c:numCache>
                <c:formatCode>0.0</c:formatCode>
                <c:ptCount val="7"/>
                <c:pt idx="0">
                  <c:v>-26.568682871678917</c:v>
                </c:pt>
                <c:pt idx="1">
                  <c:v>-1.8463073852295411</c:v>
                </c:pt>
                <c:pt idx="2">
                  <c:v>-1.9736842105263157</c:v>
                </c:pt>
                <c:pt idx="4">
                  <c:v>21.028523839267123</c:v>
                </c:pt>
                <c:pt idx="5">
                  <c:v>8.5723534607130443</c:v>
                </c:pt>
                <c:pt idx="6">
                  <c:v>2.31311706629055</c:v>
                </c:pt>
              </c:numCache>
            </c:numRef>
          </c:xVal>
          <c:yVal>
            <c:numRef>
              <c:f>Symbols!$A$57:$A$63</c:f>
              <c:numCache>
                <c:formatCode>General</c:formatCode>
                <c:ptCount val="7"/>
                <c:pt idx="0" formatCode="0.0">
                  <c:v>5</c:v>
                </c:pt>
                <c:pt idx="1">
                  <c:v>0</c:v>
                </c:pt>
                <c:pt idx="2" formatCode="0.0">
                  <c:v>-5</c:v>
                </c:pt>
                <c:pt idx="4" formatCode="0.0">
                  <c:v>-5</c:v>
                </c:pt>
                <c:pt idx="5">
                  <c:v>0</c:v>
                </c:pt>
                <c:pt idx="6" formatCode="0.0">
                  <c:v>5</c:v>
                </c:pt>
              </c:numCache>
            </c:numRef>
          </c:yVal>
        </c:ser>
        <c:axId val="64311680"/>
        <c:axId val="64313600"/>
      </c:scatterChart>
      <c:valAx>
        <c:axId val="64311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meq/L</a:t>
                </a:r>
              </a:p>
            </c:rich>
          </c:tx>
          <c:layout>
            <c:manualLayout>
              <c:xMode val="edge"/>
              <c:yMode val="edge"/>
              <c:x val="0.38797917728392223"/>
              <c:y val="0.906417112299465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13600"/>
        <c:crossesAt val="-15"/>
        <c:crossBetween val="midCat"/>
      </c:valAx>
      <c:valAx>
        <c:axId val="64313600"/>
        <c:scaling>
          <c:orientation val="minMax"/>
          <c:max val="20"/>
          <c:min val="-20"/>
        </c:scaling>
        <c:axPos val="l"/>
        <c:numFmt formatCode="0.0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4311680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2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>
        <c:manualLayout>
          <c:layoutTarget val="inner"/>
          <c:xMode val="edge"/>
          <c:yMode val="edge"/>
          <c:x val="8.0459950745220013E-2"/>
          <c:y val="3.8560411311053984E-2"/>
          <c:w val="0.84138119922144217"/>
          <c:h val="0.85604113110539914"/>
        </c:manualLayout>
      </c:layout>
      <c:scatterChart>
        <c:scatterStyle val="lineMarker"/>
        <c:ser>
          <c:idx val="0"/>
          <c:order val="0"/>
          <c:tx>
            <c:strRef>
              <c:f>Symbols!$J$126</c:f>
              <c:strCache>
                <c:ptCount val="1"/>
                <c:pt idx="0">
                  <c:v>Cl ∩ SO4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Symbols!$L$126</c:f>
              <c:numCache>
                <c:formatCode>0.0000</c:formatCode>
                <c:ptCount val="1"/>
                <c:pt idx="0">
                  <c:v>0.41177622808301129</c:v>
                </c:pt>
              </c:numCache>
            </c:numRef>
          </c:xVal>
          <c:yVal>
            <c:numRef>
              <c:f>Symbols!$K$126</c:f>
              <c:numCache>
                <c:formatCode>0.0000</c:formatCode>
                <c:ptCount val="1"/>
                <c:pt idx="0">
                  <c:v>0.5846053207608275</c:v>
                </c:pt>
              </c:numCache>
            </c:numRef>
          </c:yVal>
        </c:ser>
        <c:ser>
          <c:idx val="1"/>
          <c:order val="1"/>
          <c:tx>
            <c:v>Cl0</c:v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00FF00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xVal>
            <c:numRef>
              <c:f>Symbols!$M$102:$M$102</c:f>
              <c:numCache>
                <c:formatCode>0.00%</c:formatCode>
                <c:ptCount val="1"/>
                <c:pt idx="0">
                  <c:v>7.4254188772059887E-2</c:v>
                </c:pt>
              </c:numCache>
            </c:numRef>
          </c:xVal>
          <c:yVal>
            <c:numRef>
              <c:f>Symbols!$L$102:$L$102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</c:ser>
        <c:ser>
          <c:idx val="2"/>
          <c:order val="2"/>
          <c:tx>
            <c:v>piper</c:v>
          </c:tx>
          <c:spPr>
            <a:ln w="3175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'Piper paper'!$A$1:$A$5</c:f>
              <c:numCache>
                <c:formatCode>0.000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0.5</c:v>
                </c:pt>
                <c:pt idx="4">
                  <c:v>0</c:v>
                </c:pt>
              </c:numCache>
            </c:numRef>
          </c:xVal>
          <c:yVal>
            <c:numRef>
              <c:f>'Piper paper'!$B$1:$B$5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0.8660254037844386</c:v>
                </c:pt>
                <c:pt idx="4">
                  <c:v>0</c:v>
                </c:pt>
              </c:numCache>
            </c:numRef>
          </c:yVal>
        </c:ser>
        <c:ser>
          <c:idx val="3"/>
          <c:order val="3"/>
          <c:tx>
            <c:strRef>
              <c:f>Symbols!$J$103</c:f>
              <c:strCache>
                <c:ptCount val="1"/>
                <c:pt idx="0">
                  <c:v>SO4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Symbols!$R$103:$R$103</c:f>
              <c:numCache>
                <c:formatCode>0.00%</c:formatCode>
                <c:ptCount val="1"/>
                <c:pt idx="0">
                  <c:v>0.66247796068904874</c:v>
                </c:pt>
              </c:numCache>
            </c:numRef>
          </c:xVal>
          <c:yVal>
            <c:numRef>
              <c:f>Symbols!$Q$102:$Q$102</c:f>
              <c:numCache>
                <c:formatCode>0.00%</c:formatCode>
                <c:ptCount val="1"/>
                <c:pt idx="0">
                  <c:v>0.5846053207608275</c:v>
                </c:pt>
              </c:numCache>
            </c:numRef>
          </c:yVal>
        </c:ser>
        <c:ser>
          <c:idx val="4"/>
          <c:order val="4"/>
          <c:tx>
            <c:v>HCO3+CO2</c:v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00FFFF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xVal>
            <c:numRef>
              <c:f>Symbols!$L$104</c:f>
              <c:numCache>
                <c:formatCode>0.00%</c:formatCode>
                <c:ptCount val="1"/>
                <c:pt idx="0">
                  <c:v>0.36240792535559196</c:v>
                </c:pt>
              </c:numCache>
            </c:numRef>
          </c:xVal>
          <c:yVal>
            <c:numRef>
              <c:f>Symbols!$R$104</c:f>
              <c:numCache>
                <c:formatCode>0.00%</c:formatCode>
                <c:ptCount val="1"/>
                <c:pt idx="0">
                  <c:v>0.62770893978151432</c:v>
                </c:pt>
              </c:numCache>
            </c:numRef>
          </c:yVal>
        </c:ser>
        <c:ser>
          <c:idx val="5"/>
          <c:order val="5"/>
          <c:tx>
            <c:strRef>
              <c:f>Symbols!$J$112</c:f>
              <c:strCache>
                <c:ptCount val="1"/>
                <c:pt idx="0">
                  <c:v>Cl line</c:v>
                </c:pt>
              </c:strCache>
            </c:strRef>
          </c:tx>
          <c:spPr>
            <a:ln w="3175">
              <a:solidFill>
                <a:srgbClr val="00FF00"/>
              </a:solidFill>
              <a:prstDash val="sysDash"/>
            </a:ln>
          </c:spPr>
          <c:marker>
            <c:symbol val="none"/>
          </c:marker>
          <c:xVal>
            <c:numRef>
              <c:f>Symbols!$L$113:$L$114</c:f>
              <c:numCache>
                <c:formatCode>0.0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Symbols!$K$113:$K$114</c:f>
              <c:numCache>
                <c:formatCode>0.0000</c:formatCode>
                <c:ptCount val="2"/>
                <c:pt idx="0">
                  <c:v>-0.12861202762801816</c:v>
                </c:pt>
                <c:pt idx="1">
                  <c:v>1.6034387799408587</c:v>
                </c:pt>
              </c:numCache>
            </c:numRef>
          </c:yVal>
        </c:ser>
        <c:ser>
          <c:idx val="6"/>
          <c:order val="6"/>
          <c:tx>
            <c:v>SO4 line</c:v>
          </c:tx>
          <c:spPr>
            <a:ln w="3175">
              <a:solidFill>
                <a:srgbClr val="0000FF"/>
              </a:solidFill>
              <a:prstDash val="sysDash"/>
            </a:ln>
          </c:spPr>
          <c:marker>
            <c:symbol val="none"/>
          </c:marker>
          <c:xVal>
            <c:numRef>
              <c:f>Symbols!$L$117:$L$118</c:f>
              <c:numCache>
                <c:formatCode>0.0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Symbols!$K$117:$K$118</c:f>
              <c:numCache>
                <c:formatCode>0.0000</c:formatCode>
                <c:ptCount val="2"/>
                <c:pt idx="0">
                  <c:v>0.5846053207608275</c:v>
                </c:pt>
                <c:pt idx="1">
                  <c:v>0.5846053207608275</c:v>
                </c:pt>
              </c:numCache>
            </c:numRef>
          </c:yVal>
        </c:ser>
        <c:ser>
          <c:idx val="7"/>
          <c:order val="7"/>
          <c:tx>
            <c:strRef>
              <c:f>Symbols!$J$120</c:f>
              <c:strCache>
                <c:ptCount val="1"/>
                <c:pt idx="0">
                  <c:v>HCO3+CO2 line</c:v>
                </c:pt>
              </c:strCache>
            </c:strRef>
          </c:tx>
          <c:spPr>
            <a:ln w="3175">
              <a:solidFill>
                <a:srgbClr val="33CCCC"/>
              </a:solidFill>
              <a:prstDash val="sysDash"/>
            </a:ln>
          </c:spPr>
          <c:marker>
            <c:symbol val="none"/>
          </c:marker>
          <c:xVal>
            <c:numRef>
              <c:f>Symbols!$L$121:$L$122</c:f>
              <c:numCache>
                <c:formatCode>0.0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Symbols!$K$121:$K$122</c:f>
              <c:numCache>
                <c:formatCode>0.0000</c:formatCode>
                <c:ptCount val="2"/>
                <c:pt idx="0">
                  <c:v>2.9874686871319058</c:v>
                </c:pt>
                <c:pt idx="1">
                  <c:v>-0.47663292800584789</c:v>
                </c:pt>
              </c:numCache>
            </c:numRef>
          </c:yVal>
        </c:ser>
        <c:ser>
          <c:idx val="8"/>
          <c:order val="8"/>
          <c:tx>
            <c:strRef>
              <c:f>Symbols!$J$127</c:f>
              <c:strCache>
                <c:ptCount val="1"/>
                <c:pt idx="0">
                  <c:v>Cl ∩ HCO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Symbols!$L$127</c:f>
              <c:numCache>
                <c:formatCode>0.0000</c:formatCode>
                <c:ptCount val="1"/>
                <c:pt idx="0">
                  <c:v>0.39953501974162203</c:v>
                </c:pt>
              </c:numCache>
            </c:numRef>
          </c:xVal>
          <c:yVal>
            <c:numRef>
              <c:f>Symbols!$K$127</c:f>
              <c:numCache>
                <c:formatCode>0.0000</c:formatCode>
                <c:ptCount val="1"/>
                <c:pt idx="0">
                  <c:v>0.56340292596750541</c:v>
                </c:pt>
              </c:numCache>
            </c:numRef>
          </c:yVal>
        </c:ser>
        <c:ser>
          <c:idx val="9"/>
          <c:order val="9"/>
          <c:tx>
            <c:strRef>
              <c:f>Symbols!$J$128</c:f>
              <c:strCache>
                <c:ptCount val="1"/>
                <c:pt idx="0">
                  <c:v>SO4 ∩ HCO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66FF"/>
              </a:solidFill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Symbols!$L$128</c:f>
              <c:numCache>
                <c:formatCode>0.0000</c:formatCode>
                <c:ptCount val="1"/>
                <c:pt idx="0">
                  <c:v>0.38729381140023272</c:v>
                </c:pt>
              </c:numCache>
            </c:numRef>
          </c:xVal>
          <c:yVal>
            <c:numRef>
              <c:f>Symbols!$K$128</c:f>
              <c:numCache>
                <c:formatCode>0.0000</c:formatCode>
                <c:ptCount val="1"/>
                <c:pt idx="0">
                  <c:v>0.5846053207608275</c:v>
                </c:pt>
              </c:numCache>
            </c:numRef>
          </c:yVal>
        </c:ser>
        <c:ser>
          <c:idx val="10"/>
          <c:order val="10"/>
          <c:tx>
            <c:strRef>
              <c:f>Symbols!$J$129</c:f>
              <c:strCache>
                <c:ptCount val="1"/>
                <c:pt idx="0">
                  <c:v>Aniont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8"/>
            <c:spPr>
              <a:solidFill>
                <a:srgbClr val="FF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Symbols!$L$129</c:f>
              <c:numCache>
                <c:formatCode>0.0000</c:formatCode>
                <c:ptCount val="1"/>
                <c:pt idx="0">
                  <c:v>0.39953501974162203</c:v>
                </c:pt>
              </c:numCache>
            </c:numRef>
          </c:xVal>
          <c:yVal>
            <c:numRef>
              <c:f>Symbols!$K$129</c:f>
              <c:numCache>
                <c:formatCode>0.0000</c:formatCode>
                <c:ptCount val="1"/>
                <c:pt idx="0">
                  <c:v>0.57753785582972006</c:v>
                </c:pt>
              </c:numCache>
            </c:numRef>
          </c:yVal>
        </c:ser>
        <c:axId val="64918272"/>
        <c:axId val="64920192"/>
      </c:scatterChart>
      <c:valAx>
        <c:axId val="64918272"/>
        <c:scaling>
          <c:orientation val="minMax"/>
          <c:max val="1"/>
          <c:min val="0"/>
        </c:scaling>
        <c:axPos val="b"/>
        <c:numFmt formatCode="0.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920192"/>
        <c:crosses val="autoZero"/>
        <c:crossBetween val="midCat"/>
        <c:majorUnit val="0.2"/>
        <c:minorUnit val="0.1"/>
      </c:valAx>
      <c:valAx>
        <c:axId val="64920192"/>
        <c:scaling>
          <c:orientation val="minMax"/>
          <c:max val="0.86600000000000055"/>
          <c:min val="0"/>
        </c:scaling>
        <c:delete val="1"/>
        <c:axPos val="l"/>
        <c:numFmt formatCode="0.0000" sourceLinked="1"/>
        <c:tickLblPos val="none"/>
        <c:crossAx val="64918272"/>
        <c:crosses val="autoZero"/>
        <c:crossBetween val="midCat"/>
        <c:majorUnit val="0.17319999999999999"/>
        <c:minorUnit val="8.6600000000000024E-2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>
        <c:manualLayout>
          <c:layoutTarget val="inner"/>
          <c:xMode val="edge"/>
          <c:yMode val="edge"/>
          <c:x val="8.5846867749420103E-2"/>
          <c:y val="3.8659842466175848E-2"/>
          <c:w val="0.83062645011600988"/>
          <c:h val="0.85567117991802455"/>
        </c:manualLayout>
      </c:layout>
      <c:scatterChart>
        <c:scatterStyle val="lineMarker"/>
        <c:ser>
          <c:idx val="0"/>
          <c:order val="0"/>
          <c:tx>
            <c:strRef>
              <c:f>Symbols!$D$126</c:f>
              <c:strCache>
                <c:ptCount val="1"/>
                <c:pt idx="0">
                  <c:v>Ca ∩ Mg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Symbols!$F$126</c:f>
              <c:numCache>
                <c:formatCode>0.0000</c:formatCode>
                <c:ptCount val="1"/>
                <c:pt idx="0">
                  <c:v>-9.094793348435104E-2</c:v>
                </c:pt>
              </c:numCache>
            </c:numRef>
          </c:xVal>
          <c:yVal>
            <c:numRef>
              <c:f>Symbols!$E$126</c:f>
              <c:numCache>
                <c:formatCode>0.0000</c:formatCode>
                <c:ptCount val="1"/>
                <c:pt idx="0">
                  <c:v>5.4869580946083657E-2</c:v>
                </c:pt>
              </c:numCache>
            </c:numRef>
          </c:yVal>
        </c:ser>
        <c:ser>
          <c:idx val="1"/>
          <c:order val="1"/>
          <c:tx>
            <c:v>Ca0</c:v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8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Symbols!$E$102:$E$102</c:f>
              <c:numCache>
                <c:formatCode>0.00%</c:formatCode>
                <c:ptCount val="1"/>
                <c:pt idx="0">
                  <c:v>-5.926896615480768E-2</c:v>
                </c:pt>
              </c:numCache>
            </c:numRef>
          </c:xVal>
          <c:yVal>
            <c:numRef>
              <c:f>Symbols!$C$102:$C$102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</c:ser>
        <c:ser>
          <c:idx val="2"/>
          <c:order val="2"/>
          <c:tx>
            <c:v>piper</c:v>
          </c:tx>
          <c:spPr>
            <a:ln w="3175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'Piper paper'!$C$1:$C$5</c:f>
              <c:numCache>
                <c:formatCode>0.000</c:formatCode>
                <c:ptCount val="5"/>
                <c:pt idx="0">
                  <c:v>0</c:v>
                </c:pt>
                <c:pt idx="1">
                  <c:v>-0.5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</c:numCache>
            </c:numRef>
          </c:xVal>
          <c:yVal>
            <c:numRef>
              <c:f>'Piper paper'!$B$1:$B$5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0.8660254037844386</c:v>
                </c:pt>
                <c:pt idx="4">
                  <c:v>0</c:v>
                </c:pt>
              </c:numCache>
            </c:numRef>
          </c:yVal>
        </c:ser>
        <c:ser>
          <c:idx val="3"/>
          <c:order val="3"/>
          <c:tx>
            <c:v>Mg0</c:v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C0C0C0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Symbols!$I$103:$I$103</c:f>
              <c:numCache>
                <c:formatCode>0.00%</c:formatCode>
                <c:ptCount val="1"/>
                <c:pt idx="0">
                  <c:v>-0.96832103267045666</c:v>
                </c:pt>
              </c:numCache>
            </c:numRef>
          </c:xVal>
          <c:yVal>
            <c:numRef>
              <c:f>Symbols!$H$102:$H$102</c:f>
              <c:numCache>
                <c:formatCode>0.00%</c:formatCode>
                <c:ptCount val="1"/>
                <c:pt idx="0">
                  <c:v>5.4869580946083657E-2</c:v>
                </c:pt>
              </c:numCache>
            </c:numRef>
          </c:yVal>
        </c:ser>
        <c:ser>
          <c:idx val="4"/>
          <c:order val="4"/>
          <c:tx>
            <c:v>Na+K</c:v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99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Symbols!$C$104</c:f>
              <c:numCache>
                <c:formatCode>0.00%</c:formatCode>
                <c:ptCount val="1"/>
                <c:pt idx="0">
                  <c:v>-7.3554658748336568E-2</c:v>
                </c:pt>
              </c:numCache>
            </c:numRef>
          </c:xVal>
          <c:yVal>
            <c:numRef>
              <c:f>Symbols!$I$104</c:f>
              <c:numCache>
                <c:formatCode>0.00%</c:formatCode>
                <c:ptCount val="1"/>
                <c:pt idx="0">
                  <c:v>0.12740040608550951</c:v>
                </c:pt>
              </c:numCache>
            </c:numRef>
          </c:yVal>
        </c:ser>
        <c:ser>
          <c:idx val="5"/>
          <c:order val="5"/>
          <c:tx>
            <c:strRef>
              <c:f>Symbols!$D$112</c:f>
              <c:strCache>
                <c:ptCount val="1"/>
                <c:pt idx="0">
                  <c:v>Ca line</c:v>
                </c:pt>
              </c:strCache>
            </c:strRef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Symbols!$F$113:$F$114</c:f>
              <c:numCache>
                <c:formatCode>0.0</c:formatCode>
                <c:ptCount val="2"/>
                <c:pt idx="0">
                  <c:v>-1</c:v>
                </c:pt>
                <c:pt idx="1">
                  <c:v>0</c:v>
                </c:pt>
              </c:numCache>
            </c:numRef>
          </c:xVal>
          <c:yVal>
            <c:numRef>
              <c:f>Symbols!$E$113:$E$114</c:f>
              <c:numCache>
                <c:formatCode>0.0000</c:formatCode>
                <c:ptCount val="2"/>
                <c:pt idx="0">
                  <c:v>1.6293939468766696</c:v>
                </c:pt>
                <c:pt idx="1">
                  <c:v>-0.10265686069220707</c:v>
                </c:pt>
              </c:numCache>
            </c:numRef>
          </c:yVal>
        </c:ser>
        <c:ser>
          <c:idx val="6"/>
          <c:order val="6"/>
          <c:tx>
            <c:strRef>
              <c:f>Symbols!$D$116</c:f>
              <c:strCache>
                <c:ptCount val="1"/>
                <c:pt idx="0">
                  <c:v>Mg line</c:v>
                </c:pt>
              </c:strCache>
            </c:strRef>
          </c:tx>
          <c:spPr>
            <a:ln w="3175">
              <a:solidFill>
                <a:srgbClr val="969696"/>
              </a:solidFill>
              <a:prstDash val="sysDash"/>
            </a:ln>
          </c:spPr>
          <c:marker>
            <c:symbol val="none"/>
          </c:marker>
          <c:xVal>
            <c:numRef>
              <c:f>Symbols!$F$117:$F$118</c:f>
              <c:numCache>
                <c:formatCode>0.0</c:formatCode>
                <c:ptCount val="2"/>
                <c:pt idx="0">
                  <c:v>-1</c:v>
                </c:pt>
                <c:pt idx="1">
                  <c:v>0</c:v>
                </c:pt>
              </c:numCache>
            </c:numRef>
          </c:xVal>
          <c:yVal>
            <c:numRef>
              <c:f>Symbols!$E$117:$E$118</c:f>
              <c:numCache>
                <c:formatCode>0.0000</c:formatCode>
                <c:ptCount val="2"/>
                <c:pt idx="0">
                  <c:v>5.4869580946083657E-2</c:v>
                </c:pt>
                <c:pt idx="1">
                  <c:v>5.4869580946083657E-2</c:v>
                </c:pt>
              </c:numCache>
            </c:numRef>
          </c:yVal>
        </c:ser>
        <c:ser>
          <c:idx val="7"/>
          <c:order val="7"/>
          <c:tx>
            <c:strRef>
              <c:f>Symbols!$D$120</c:f>
              <c:strCache>
                <c:ptCount val="1"/>
                <c:pt idx="0">
                  <c:v>Na+K line</c:v>
                </c:pt>
              </c:strCache>
            </c:strRef>
          </c:tx>
          <c:spPr>
            <a:ln w="3175">
              <a:solidFill>
                <a:srgbClr val="FFFF00"/>
              </a:solidFill>
              <a:prstDash val="sysDash"/>
            </a:ln>
          </c:spPr>
          <c:marker>
            <c:symbol val="none"/>
          </c:marker>
          <c:xVal>
            <c:numRef>
              <c:f>Symbols!$F$121:$F$122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Symbols!$E$121:$E$122</c:f>
              <c:numCache>
                <c:formatCode>0.00000</c:formatCode>
                <c:ptCount val="2"/>
                <c:pt idx="0">
                  <c:v>-1.4772499953978577</c:v>
                </c:pt>
                <c:pt idx="1">
                  <c:v>1.9868516197398958</c:v>
                </c:pt>
              </c:numCache>
            </c:numRef>
          </c:yVal>
        </c:ser>
        <c:ser>
          <c:idx val="8"/>
          <c:order val="8"/>
          <c:tx>
            <c:strRef>
              <c:f>Symbols!$D$127</c:f>
              <c:strCache>
                <c:ptCount val="1"/>
                <c:pt idx="0">
                  <c:v>Ca ∩ Na+K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Symbols!$F$127</c:f>
              <c:numCache>
                <c:formatCode>0.0000</c:formatCode>
                <c:ptCount val="1"/>
                <c:pt idx="0">
                  <c:v>-0.10318914182574042</c:v>
                </c:pt>
              </c:numCache>
            </c:numRef>
          </c:xVal>
          <c:yVal>
            <c:numRef>
              <c:f>Symbols!$E$127</c:f>
              <c:numCache>
                <c:formatCode>0.0000</c:formatCode>
                <c:ptCount val="1"/>
                <c:pt idx="0">
                  <c:v>7.6071975739405981E-2</c:v>
                </c:pt>
              </c:numCache>
            </c:numRef>
          </c:yVal>
        </c:ser>
        <c:ser>
          <c:idx val="9"/>
          <c:order val="9"/>
          <c:tx>
            <c:strRef>
              <c:f>Symbols!$D$128</c:f>
              <c:strCache>
                <c:ptCount val="1"/>
                <c:pt idx="0">
                  <c:v>Mg ∩ Na+K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69FFFF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Symbols!$F$128</c:f>
              <c:numCache>
                <c:formatCode>0.0000</c:formatCode>
                <c:ptCount val="1"/>
                <c:pt idx="0">
                  <c:v>-0.11543035016712978</c:v>
                </c:pt>
              </c:numCache>
            </c:numRef>
          </c:xVal>
          <c:yVal>
            <c:numRef>
              <c:f>Symbols!$E$128</c:f>
              <c:numCache>
                <c:formatCode>0.0000</c:formatCode>
                <c:ptCount val="1"/>
                <c:pt idx="0">
                  <c:v>5.4869580946083657E-2</c:v>
                </c:pt>
              </c:numCache>
            </c:numRef>
          </c:yVal>
        </c:ser>
        <c:ser>
          <c:idx val="10"/>
          <c:order val="10"/>
          <c:tx>
            <c:strRef>
              <c:f>Symbols!$D$129</c:f>
              <c:strCache>
                <c:ptCount val="1"/>
                <c:pt idx="0">
                  <c:v>Cationt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8"/>
            <c:spPr>
              <a:solidFill>
                <a:srgbClr val="FF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Symbols!$F$129</c:f>
              <c:numCache>
                <c:formatCode>0.0000</c:formatCode>
                <c:ptCount val="1"/>
                <c:pt idx="0">
                  <c:v>-0.1031891418257404</c:v>
                </c:pt>
              </c:numCache>
            </c:numRef>
          </c:xVal>
          <c:yVal>
            <c:numRef>
              <c:f>Symbols!$E$129</c:f>
              <c:numCache>
                <c:formatCode>0.0000</c:formatCode>
                <c:ptCount val="1"/>
                <c:pt idx="0">
                  <c:v>6.1937045877191094E-2</c:v>
                </c:pt>
              </c:numCache>
            </c:numRef>
          </c:yVal>
        </c:ser>
        <c:axId val="78718080"/>
        <c:axId val="78720000"/>
      </c:scatterChart>
      <c:valAx>
        <c:axId val="78718080"/>
        <c:scaling>
          <c:orientation val="minMax"/>
          <c:max val="0"/>
          <c:min val="-1"/>
        </c:scaling>
        <c:axPos val="b"/>
        <c:numFmt formatCode="0.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20000"/>
        <c:crosses val="autoZero"/>
        <c:crossBetween val="midCat"/>
        <c:majorUnit val="0.2"/>
        <c:minorUnit val="0.1"/>
      </c:valAx>
      <c:valAx>
        <c:axId val="78720000"/>
        <c:scaling>
          <c:orientation val="minMax"/>
          <c:max val="0.86600000000000055"/>
          <c:min val="0"/>
        </c:scaling>
        <c:delete val="1"/>
        <c:axPos val="l"/>
        <c:numFmt formatCode="0.0000" sourceLinked="1"/>
        <c:tickLblPos val="none"/>
        <c:crossAx val="78718080"/>
        <c:crosses val="autoZero"/>
        <c:crossBetween val="midCat"/>
        <c:majorUnit val="0.17319999999999999"/>
        <c:minorUnit val="8.6600000000000024E-2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>
        <c:manualLayout>
          <c:layoutTarget val="inner"/>
          <c:xMode val="edge"/>
          <c:yMode val="edge"/>
          <c:x val="2.6501766784452319E-2"/>
          <c:y val="3.0674907885408487E-2"/>
          <c:w val="0.94876325088339264"/>
          <c:h val="0.94069717515252582"/>
        </c:manualLayout>
      </c:layout>
      <c:scatterChart>
        <c:scatterStyle val="lineMarker"/>
        <c:ser>
          <c:idx val="0"/>
          <c:order val="0"/>
          <c:tx>
            <c:v>piper paper</c:v>
          </c:tx>
          <c:spPr>
            <a:ln w="3175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'Piper paper'!$D$1:$D$5</c:f>
              <c:numCache>
                <c:formatCode>0.000</c:formatCode>
                <c:ptCount val="5"/>
                <c:pt idx="0">
                  <c:v>-0.5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-0.5</c:v>
                </c:pt>
              </c:numCache>
            </c:numRef>
          </c:xVal>
          <c:yVal>
            <c:numRef>
              <c:f>'Piper paper'!$E$1:$E$5</c:f>
              <c:numCache>
                <c:formatCode>0.000</c:formatCode>
                <c:ptCount val="5"/>
                <c:pt idx="0">
                  <c:v>0.8660254037844386</c:v>
                </c:pt>
                <c:pt idx="1">
                  <c:v>0</c:v>
                </c:pt>
                <c:pt idx="2">
                  <c:v>0.8660254037844386</c:v>
                </c:pt>
                <c:pt idx="3">
                  <c:v>1.7320508075688772</c:v>
                </c:pt>
                <c:pt idx="4">
                  <c:v>0.8660254037844386</c:v>
                </c:pt>
              </c:numCache>
            </c:numRef>
          </c:yVal>
        </c:ser>
        <c:ser>
          <c:idx val="1"/>
          <c:order val="1"/>
          <c:tx>
            <c:strRef>
              <c:f>Symbols!$J$120</c:f>
              <c:strCache>
                <c:ptCount val="1"/>
                <c:pt idx="0">
                  <c:v>HCO3+CO2 line</c:v>
                </c:pt>
              </c:strCache>
            </c:strRef>
          </c:tx>
          <c:spPr>
            <a:ln w="3175">
              <a:solidFill>
                <a:srgbClr val="33CCCC"/>
              </a:solidFill>
              <a:prstDash val="sysDash"/>
            </a:ln>
          </c:spPr>
          <c:marker>
            <c:symbol val="none"/>
          </c:marker>
          <c:xVal>
            <c:numRef>
              <c:f>Symbols!$L$121:$L$122</c:f>
              <c:numCache>
                <c:formatCode>0.0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Symbols!$K$121:$K$122</c:f>
              <c:numCache>
                <c:formatCode>0.0000</c:formatCode>
                <c:ptCount val="2"/>
                <c:pt idx="0">
                  <c:v>2.9874686871319058</c:v>
                </c:pt>
                <c:pt idx="1">
                  <c:v>-0.47663292800584789</c:v>
                </c:pt>
              </c:numCache>
            </c:numRef>
          </c:yVal>
        </c:ser>
        <c:ser>
          <c:idx val="2"/>
          <c:order val="2"/>
          <c:tx>
            <c:strRef>
              <c:f>Symbols!$D$120</c:f>
              <c:strCache>
                <c:ptCount val="1"/>
                <c:pt idx="0">
                  <c:v>Na+K line</c:v>
                </c:pt>
              </c:strCache>
            </c:strRef>
          </c:tx>
          <c:spPr>
            <a:ln w="3175">
              <a:solidFill>
                <a:srgbClr val="FFFF00"/>
              </a:solidFill>
              <a:prstDash val="sysDash"/>
            </a:ln>
          </c:spPr>
          <c:marker>
            <c:symbol val="none"/>
          </c:marker>
          <c:xVal>
            <c:numRef>
              <c:f>Symbols!$F$121:$F$122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Symbols!$E$121:$E$122</c:f>
              <c:numCache>
                <c:formatCode>0.00000</c:formatCode>
                <c:ptCount val="2"/>
                <c:pt idx="0">
                  <c:v>-1.4772499953978577</c:v>
                </c:pt>
                <c:pt idx="1">
                  <c:v>1.9868516197398958</c:v>
                </c:pt>
              </c:numCache>
            </c:numRef>
          </c:yVal>
        </c:ser>
        <c:ser>
          <c:idx val="3"/>
          <c:order val="3"/>
          <c:tx>
            <c:strRef>
              <c:f>Symbols!$F$133</c:f>
              <c:strCache>
                <c:ptCount val="1"/>
                <c:pt idx="0">
                  <c:v>Na+K ∩ SO4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FFFF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Symbols!$H$133</c:f>
              <c:numCache>
                <c:formatCode>0.0000</c:formatCode>
                <c:ptCount val="1"/>
                <c:pt idx="0">
                  <c:v>0.28885326660725547</c:v>
                </c:pt>
              </c:numCache>
            </c:numRef>
          </c:xVal>
          <c:yVal>
            <c:numRef>
              <c:f>Symbols!$G$133</c:f>
              <c:numCache>
                <c:formatCode>0.0000</c:formatCode>
                <c:ptCount val="1"/>
                <c:pt idx="0">
                  <c:v>0.75510934586702394</c:v>
                </c:pt>
              </c:numCache>
            </c:numRef>
          </c:yVal>
        </c:ser>
        <c:axId val="78770560"/>
        <c:axId val="78772480"/>
      </c:scatterChart>
      <c:valAx>
        <c:axId val="78770560"/>
        <c:scaling>
          <c:orientation val="minMax"/>
          <c:max val="1"/>
          <c:min val="-1"/>
        </c:scaling>
        <c:delete val="1"/>
        <c:axPos val="b"/>
        <c:numFmt formatCode="0.000" sourceLinked="1"/>
        <c:tickLblPos val="none"/>
        <c:crossAx val="78772480"/>
        <c:crossesAt val="0.86600000000000055"/>
        <c:crossBetween val="midCat"/>
      </c:valAx>
      <c:valAx>
        <c:axId val="78772480"/>
        <c:scaling>
          <c:orientation val="minMax"/>
          <c:max val="1.732"/>
          <c:min val="0"/>
        </c:scaling>
        <c:delete val="1"/>
        <c:axPos val="l"/>
        <c:numFmt formatCode="0.000" sourceLinked="1"/>
        <c:tickLblPos val="none"/>
        <c:crossAx val="78770560"/>
        <c:crosses val="autoZero"/>
        <c:crossBetween val="midCat"/>
        <c:majorUnit val="0.86600000000000055"/>
        <c:minorUnit val="0.43300000000000027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>
        <c:manualLayout>
          <c:layoutTarget val="inner"/>
          <c:xMode val="edge"/>
          <c:yMode val="edge"/>
          <c:x val="0.19277108433734941"/>
          <c:y val="4.3956102920167273E-2"/>
          <c:w val="0.56626506024096357"/>
          <c:h val="0.84066046834819941"/>
        </c:manualLayout>
      </c:layout>
      <c:barChart>
        <c:barDir val="col"/>
        <c:grouping val="percentStacked"/>
        <c:ser>
          <c:idx val="0"/>
          <c:order val="0"/>
          <c:tx>
            <c:strRef>
              <c:f>Symbols!$B$66</c:f>
              <c:strCache>
                <c:ptCount val="1"/>
                <c:pt idx="0">
                  <c:v>Ca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SerName val="1"/>
          </c:dLbls>
          <c:cat>
            <c:strRef>
              <c:f>Symbols!$A$67</c:f>
              <c:strCache>
                <c:ptCount val="1"/>
                <c:pt idx="0">
                  <c:v>Cations</c:v>
                </c:pt>
              </c:strCache>
            </c:strRef>
          </c:cat>
          <c:val>
            <c:numRef>
              <c:f>Symbols!$B$67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</c:ser>
        <c:ser>
          <c:idx val="1"/>
          <c:order val="1"/>
          <c:tx>
            <c:strRef>
              <c:f>Symbols!$C$66</c:f>
              <c:strCache>
                <c:ptCount val="1"/>
                <c:pt idx="0">
                  <c:v>Mg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SerName val="1"/>
          </c:dLbls>
          <c:cat>
            <c:strRef>
              <c:f>Symbols!$A$67</c:f>
              <c:strCache>
                <c:ptCount val="1"/>
                <c:pt idx="0">
                  <c:v>Cations</c:v>
                </c:pt>
              </c:strCache>
            </c:strRef>
          </c:cat>
          <c:val>
            <c:numRef>
              <c:f>Symbols!$C$67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ser>
          <c:idx val="2"/>
          <c:order val="2"/>
          <c:tx>
            <c:strRef>
              <c:f>Symbols!$D$66</c:f>
              <c:strCache>
                <c:ptCount val="1"/>
                <c:pt idx="0">
                  <c:v>Na+K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SerName val="1"/>
          </c:dLbls>
          <c:cat>
            <c:strRef>
              <c:f>Symbols!$A$67</c:f>
              <c:strCache>
                <c:ptCount val="1"/>
                <c:pt idx="0">
                  <c:v>Cations</c:v>
                </c:pt>
              </c:strCache>
            </c:strRef>
          </c:cat>
          <c:val>
            <c:numRef>
              <c:f>Symbols!$D$67</c:f>
              <c:numCache>
                <c:formatCode>General</c:formatCode>
                <c:ptCount val="1"/>
                <c:pt idx="0">
                  <c:v>611</c:v>
                </c:pt>
              </c:numCache>
            </c:numRef>
          </c:val>
        </c:ser>
        <c:gapWidth val="0"/>
        <c:overlap val="100"/>
        <c:axId val="78900608"/>
        <c:axId val="78914688"/>
      </c:barChart>
      <c:catAx>
        <c:axId val="789006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14688"/>
        <c:crosses val="autoZero"/>
        <c:auto val="1"/>
        <c:lblAlgn val="ctr"/>
        <c:lblOffset val="100"/>
        <c:tickLblSkip val="1"/>
        <c:tickMarkSkip val="1"/>
      </c:catAx>
      <c:valAx>
        <c:axId val="789146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one"/>
        <c:crossAx val="789006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>
        <c:manualLayout>
          <c:layoutTarget val="inner"/>
          <c:xMode val="edge"/>
          <c:yMode val="edge"/>
          <c:x val="0.27586439136913576"/>
          <c:y val="4.3835616438356192E-2"/>
          <c:w val="0.68966097842283824"/>
          <c:h val="0.84109589041095945"/>
        </c:manualLayout>
      </c:layout>
      <c:barChart>
        <c:barDir val="col"/>
        <c:grouping val="percentStacked"/>
        <c:ser>
          <c:idx val="0"/>
          <c:order val="0"/>
          <c:tx>
            <c:strRef>
              <c:f>Symbols!$B$68</c:f>
              <c:strCache>
                <c:ptCount val="1"/>
                <c:pt idx="0">
                  <c:v>TAL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SerName val="1"/>
          </c:dLbls>
          <c:cat>
            <c:strRef>
              <c:f>Symbols!$A$69</c:f>
              <c:strCache>
                <c:ptCount val="1"/>
                <c:pt idx="0">
                  <c:v>Anions</c:v>
                </c:pt>
              </c:strCache>
            </c:strRef>
          </c:cat>
          <c:val>
            <c:numRef>
              <c:f>Symbols!$B$69</c:f>
              <c:numCache>
                <c:formatCode>General</c:formatCode>
                <c:ptCount val="1"/>
                <c:pt idx="0">
                  <c:v>429</c:v>
                </c:pt>
              </c:numCache>
            </c:numRef>
          </c:val>
        </c:ser>
        <c:ser>
          <c:idx val="1"/>
          <c:order val="1"/>
          <c:tx>
            <c:strRef>
              <c:f>Symbols!$C$68</c:f>
              <c:strCache>
                <c:ptCount val="1"/>
                <c:pt idx="0">
                  <c:v>Cl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SerName val="1"/>
          </c:dLbls>
          <c:cat>
            <c:strRef>
              <c:f>Symbols!$A$69</c:f>
              <c:strCache>
                <c:ptCount val="1"/>
                <c:pt idx="0">
                  <c:v>Anions</c:v>
                </c:pt>
              </c:strCache>
            </c:strRef>
          </c:cat>
          <c:val>
            <c:numRef>
              <c:f>Symbols!$C$69</c:f>
              <c:numCache>
                <c:formatCode>General</c:formatCode>
                <c:ptCount val="1"/>
                <c:pt idx="0">
                  <c:v>82</c:v>
                </c:pt>
              </c:numCache>
            </c:numRef>
          </c:val>
        </c:ser>
        <c:ser>
          <c:idx val="2"/>
          <c:order val="2"/>
          <c:tx>
            <c:strRef>
              <c:f>Symbols!$D$68</c:f>
              <c:strCache>
                <c:ptCount val="1"/>
                <c:pt idx="0">
                  <c:v>SO4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SerName val="1"/>
          </c:dLbls>
          <c:cat>
            <c:strRef>
              <c:f>Symbols!$A$69</c:f>
              <c:strCache>
                <c:ptCount val="1"/>
                <c:pt idx="0">
                  <c:v>Anions</c:v>
                </c:pt>
              </c:strCache>
            </c:strRef>
          </c:cat>
          <c:val>
            <c:numRef>
              <c:f>Symbols!$D$69</c:f>
              <c:numCache>
                <c:formatCode>General</c:formatCode>
                <c:ptCount val="1"/>
                <c:pt idx="0">
                  <c:v>1010</c:v>
                </c:pt>
              </c:numCache>
            </c:numRef>
          </c:val>
        </c:ser>
        <c:gapWidth val="0"/>
        <c:overlap val="100"/>
        <c:axId val="78944896"/>
        <c:axId val="78979456"/>
      </c:barChart>
      <c:catAx>
        <c:axId val="789448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79456"/>
        <c:crosses val="autoZero"/>
        <c:auto val="1"/>
        <c:lblAlgn val="ctr"/>
        <c:lblOffset val="100"/>
        <c:tickLblSkip val="1"/>
        <c:tickMarkSkip val="1"/>
      </c:catAx>
      <c:valAx>
        <c:axId val="78979456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one"/>
        <c:crossAx val="789448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>
        <c:manualLayout>
          <c:layoutTarget val="inner"/>
          <c:xMode val="edge"/>
          <c:yMode val="edge"/>
          <c:x val="0.15542533121887844"/>
          <c:y val="4.8888994984798206E-2"/>
          <c:w val="0.59677462081210819"/>
          <c:h val="0.90444640721876568"/>
        </c:manualLayout>
      </c:layout>
      <c:radarChart>
        <c:radarStyle val="filled"/>
        <c:ser>
          <c:idx val="0"/>
          <c:order val="0"/>
          <c:tx>
            <c:strRef>
              <c:f>'Maucha filled'!$C$1</c:f>
              <c:strCache>
                <c:ptCount val="1"/>
                <c:pt idx="0">
                  <c:v>Circle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'Maucha filled'!$C$2:$C$17</c:f>
              <c:numCache>
                <c:formatCode>0.00</c:formatCode>
                <c:ptCount val="16"/>
                <c:pt idx="0">
                  <c:v>52.055395682565035</c:v>
                </c:pt>
                <c:pt idx="1">
                  <c:v>52.055395682565035</c:v>
                </c:pt>
                <c:pt idx="2">
                  <c:v>52.055395682565035</c:v>
                </c:pt>
                <c:pt idx="3">
                  <c:v>52.055395682565035</c:v>
                </c:pt>
                <c:pt idx="4">
                  <c:v>52.055395682565035</c:v>
                </c:pt>
                <c:pt idx="5">
                  <c:v>52.055395682565035</c:v>
                </c:pt>
                <c:pt idx="6">
                  <c:v>52.055395682565035</c:v>
                </c:pt>
                <c:pt idx="7">
                  <c:v>52.055395682565035</c:v>
                </c:pt>
                <c:pt idx="8">
                  <c:v>52.055395682565035</c:v>
                </c:pt>
                <c:pt idx="9">
                  <c:v>52.055395682565035</c:v>
                </c:pt>
                <c:pt idx="10">
                  <c:v>52.055395682565035</c:v>
                </c:pt>
                <c:pt idx="11">
                  <c:v>52.055395682565035</c:v>
                </c:pt>
                <c:pt idx="12">
                  <c:v>52.055395682565035</c:v>
                </c:pt>
                <c:pt idx="13">
                  <c:v>52.055395682565035</c:v>
                </c:pt>
                <c:pt idx="14">
                  <c:v>52.055395682565035</c:v>
                </c:pt>
                <c:pt idx="15">
                  <c:v>52.055395682565035</c:v>
                </c:pt>
              </c:numCache>
            </c:numRef>
          </c:val>
        </c:ser>
        <c:ser>
          <c:idx val="1"/>
          <c:order val="1"/>
          <c:tx>
            <c:strRef>
              <c:f>'Maucha filled'!$D$1</c:f>
              <c:strCache>
                <c:ptCount val="1"/>
                <c:pt idx="0">
                  <c:v>K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FF00FF"/>
              </a:solidFill>
              <a:prstDash val="solid"/>
            </a:ln>
          </c:spPr>
          <c:val>
            <c:numRef>
              <c:f>'Maucha filled'!$D$2:$D$17</c:f>
              <c:numCache>
                <c:formatCode>0.00</c:formatCode>
                <c:ptCount val="16"/>
                <c:pt idx="0">
                  <c:v>52.055395682565035</c:v>
                </c:pt>
                <c:pt idx="1">
                  <c:v>0</c:v>
                </c:pt>
                <c:pt idx="2">
                  <c:v>52.055395682565035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</c:numCache>
            </c:numRef>
          </c:val>
        </c:ser>
        <c:ser>
          <c:idx val="2"/>
          <c:order val="2"/>
          <c:tx>
            <c:strRef>
              <c:f>'Maucha filled'!$E$1</c:f>
              <c:strCache>
                <c:ptCount val="1"/>
                <c:pt idx="0">
                  <c:v>Na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FFFF00"/>
              </a:solidFill>
              <a:prstDash val="solid"/>
            </a:ln>
          </c:spPr>
          <c:val>
            <c:numRef>
              <c:f>'Maucha filled'!$E$2:$E$17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 formatCode="0.00">
                  <c:v>52.055395682565035</c:v>
                </c:pt>
                <c:pt idx="3" formatCode="0.00">
                  <c:v>177.59024780673448</c:v>
                </c:pt>
                <c:pt idx="4" formatCode="0.00">
                  <c:v>52.055395682565035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'Maucha filled'!$F$1</c:f>
              <c:strCache>
                <c:ptCount val="1"/>
                <c:pt idx="0">
                  <c:v>Ca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val>
            <c:numRef>
              <c:f>'Maucha filled'!$F$2:$F$17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52.055395682565035</c:v>
                </c:pt>
                <c:pt idx="5" formatCode="0.00">
                  <c:v>12.341077939540275</c:v>
                </c:pt>
                <c:pt idx="6" formatCode="0.00">
                  <c:v>52.055395682565035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'Maucha filled'!$G$1</c:f>
              <c:strCache>
                <c:ptCount val="1"/>
                <c:pt idx="0">
                  <c:v>Mg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  <a:prstDash val="solid"/>
            </a:ln>
          </c:spPr>
          <c:val>
            <c:numRef>
              <c:f>'Maucha filled'!$G$2:$G$17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52.055395682565035</c:v>
                </c:pt>
                <c:pt idx="7" formatCode="0.00">
                  <c:v>13.192489433235442</c:v>
                </c:pt>
                <c:pt idx="8" formatCode="0.00">
                  <c:v>52.055395682565035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5"/>
          <c:order val="5"/>
          <c:tx>
            <c:strRef>
              <c:f>'Maucha filled'!$H$1</c:f>
              <c:strCache>
                <c:ptCount val="1"/>
                <c:pt idx="0">
                  <c:v>SO4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80"/>
              </a:solidFill>
              <a:prstDash val="solid"/>
            </a:ln>
          </c:spPr>
          <c:val>
            <c:numRef>
              <c:f>'Maucha filled'!$H$2:$H$17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.00">
                  <c:v>52.055395682565035</c:v>
                </c:pt>
                <c:pt idx="9" formatCode="0.00">
                  <c:v>140.55874646334269</c:v>
                </c:pt>
                <c:pt idx="10" formatCode="0.00">
                  <c:v>52.055395682565035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6"/>
          <c:order val="6"/>
          <c:tx>
            <c:strRef>
              <c:f>'Maucha filled'!$I$1</c:f>
              <c:strCache>
                <c:ptCount val="1"/>
                <c:pt idx="0">
                  <c:v>Cl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8000"/>
              </a:solidFill>
              <a:prstDash val="solid"/>
            </a:ln>
          </c:spPr>
          <c:val>
            <c:numRef>
              <c:f>'Maucha filled'!$I$2:$I$17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">
                  <c:v>52.055395682565035</c:v>
                </c:pt>
                <c:pt idx="11" formatCode="0.00">
                  <c:v>15.461324710469819</c:v>
                </c:pt>
                <c:pt idx="12" formatCode="0.00">
                  <c:v>52.055395682565035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7"/>
          <c:order val="7"/>
          <c:tx>
            <c:strRef>
              <c:f>'Maucha filled'!$J$1</c:f>
              <c:strCache>
                <c:ptCount val="1"/>
                <c:pt idx="0">
                  <c:v>TAL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3366FF"/>
              </a:solidFill>
              <a:prstDash val="solid"/>
            </a:ln>
          </c:spPr>
          <c:val>
            <c:numRef>
              <c:f>'Maucha filled'!$J$2:$J$17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 formatCode="0.00">
                  <c:v>52.055395682565035</c:v>
                </c:pt>
                <c:pt idx="13" formatCode="0.00">
                  <c:v>57.299279107197492</c:v>
                </c:pt>
                <c:pt idx="14" formatCode="0.00">
                  <c:v>52.055395682565035</c:v>
                </c:pt>
                <c:pt idx="15">
                  <c:v>0</c:v>
                </c:pt>
              </c:numCache>
            </c:numRef>
          </c:val>
        </c:ser>
        <c:axId val="79045760"/>
        <c:axId val="79047296"/>
      </c:radarChart>
      <c:catAx>
        <c:axId val="79045760"/>
        <c:scaling>
          <c:orientation val="minMax"/>
        </c:scaling>
        <c:axPos val="b"/>
        <c:numFmt formatCode="General" sourceLinked="1"/>
        <c:tickLblPos val="none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47296"/>
        <c:crosses val="autoZero"/>
        <c:lblAlgn val="ctr"/>
        <c:lblOffset val="100"/>
      </c:catAx>
      <c:valAx>
        <c:axId val="79047296"/>
        <c:scaling>
          <c:orientation val="minMax"/>
        </c:scaling>
        <c:delete val="1"/>
        <c:axPos val="l"/>
        <c:numFmt formatCode="0.00" sourceLinked="1"/>
        <c:tickLblPos val="none"/>
        <c:crossAx val="79045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22645312102867"/>
          <c:y val="0.30444510513260703"/>
          <c:w val="8.504404915749969E-2"/>
          <c:h val="0.3933341869231490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25</xdr:row>
      <xdr:rowOff>9525</xdr:rowOff>
    </xdr:from>
    <xdr:to>
      <xdr:col>13</xdr:col>
      <xdr:colOff>542925</xdr:colOff>
      <xdr:row>46</xdr:row>
      <xdr:rowOff>133350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25</xdr:row>
      <xdr:rowOff>0</xdr:rowOff>
    </xdr:from>
    <xdr:to>
      <xdr:col>8</xdr:col>
      <xdr:colOff>28575</xdr:colOff>
      <xdr:row>47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66675</xdr:colOff>
      <xdr:row>77</xdr:row>
      <xdr:rowOff>0</xdr:rowOff>
    </xdr:from>
    <xdr:to>
      <xdr:col>15</xdr:col>
      <xdr:colOff>171450</xdr:colOff>
      <xdr:row>99</xdr:row>
      <xdr:rowOff>142875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77</xdr:row>
      <xdr:rowOff>9525</xdr:rowOff>
    </xdr:from>
    <xdr:to>
      <xdr:col>9</xdr:col>
      <xdr:colOff>0</xdr:colOff>
      <xdr:row>99</xdr:row>
      <xdr:rowOff>142875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638175</xdr:colOff>
      <xdr:row>47</xdr:row>
      <xdr:rowOff>104775</xdr:rowOff>
    </xdr:from>
    <xdr:to>
      <xdr:col>13</xdr:col>
      <xdr:colOff>47625</xdr:colOff>
      <xdr:row>76</xdr:row>
      <xdr:rowOff>66675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561975</xdr:colOff>
      <xdr:row>25</xdr:row>
      <xdr:rowOff>38100</xdr:rowOff>
    </xdr:from>
    <xdr:to>
      <xdr:col>14</xdr:col>
      <xdr:colOff>666750</xdr:colOff>
      <xdr:row>46</xdr:row>
      <xdr:rowOff>104775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504825</xdr:colOff>
      <xdr:row>25</xdr:row>
      <xdr:rowOff>28575</xdr:rowOff>
    </xdr:from>
    <xdr:to>
      <xdr:col>15</xdr:col>
      <xdr:colOff>371475</xdr:colOff>
      <xdr:row>46</xdr:row>
      <xdr:rowOff>104775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0.16852</cdr:x>
      <cdr:y>0.71967</cdr:y>
    </cdr:from>
    <cdr:to>
      <cdr:x>0.29624</cdr:x>
      <cdr:y>0.77635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3636" y="2546310"/>
          <a:ext cx="485384" cy="2002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Anions</a:t>
          </a:r>
        </a:p>
      </cdr:txBody>
    </cdr:sp>
  </cdr:relSizeAnchor>
  <cdr:relSizeAnchor xmlns:cdr="http://schemas.openxmlformats.org/drawingml/2006/chartDrawing">
    <cdr:from>
      <cdr:x>0.67841</cdr:x>
      <cdr:y>0.71967</cdr:y>
    </cdr:from>
    <cdr:to>
      <cdr:x>0.81637</cdr:x>
      <cdr:y>0.77635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469" y="2546310"/>
          <a:ext cx="524289" cy="2002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Cations</a:t>
          </a:r>
        </a:p>
      </cdr:txBody>
    </cdr:sp>
  </cdr:relSizeAnchor>
  <cdr:relSizeAnchor xmlns:cdr="http://schemas.openxmlformats.org/drawingml/2006/chartDrawing">
    <cdr:from>
      <cdr:x>0.03495</cdr:x>
      <cdr:y>0.01348</cdr:y>
    </cdr:from>
    <cdr:to>
      <cdr:x>0.17535</cdr:x>
      <cdr:y>0.07016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020" y="50800"/>
          <a:ext cx="533553" cy="2002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Maucha</a:t>
          </a:r>
        </a:p>
      </cdr:txBody>
    </cdr:sp>
  </cdr:relSizeAnchor>
  <cdr:relSizeAnchor xmlns:cdr="http://schemas.openxmlformats.org/drawingml/2006/chartDrawing">
    <cdr:from>
      <cdr:x>0.64722</cdr:x>
      <cdr:y>0.01615</cdr:y>
    </cdr:from>
    <cdr:to>
      <cdr:x>0.97772</cdr:x>
      <cdr:y>0.07137</cdr:y>
    </cdr:to>
    <cdr:sp macro="" textlink="Symbols!$B$1">
      <cdr:nvSpPr>
        <cdr:cNvPr id="205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462901" y="60256"/>
          <a:ext cx="1256072" cy="195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36576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B5C58E7B-AC8F-4E45-B8EB-F5EFD329627D}" type="TxLink">
            <a:rPr lang="en-ZA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Hem 10</a:t>
          </a:fld>
          <a:endParaRPr lang="en-ZA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0.22374</cdr:x>
      <cdr:y>0.93143</cdr:y>
    </cdr:from>
    <cdr:to>
      <cdr:x>0.37354</cdr:x>
      <cdr:y>0.9874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292" y="3330127"/>
          <a:ext cx="523665" cy="199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Cations</a:t>
          </a:r>
        </a:p>
      </cdr:txBody>
    </cdr:sp>
  </cdr:relSizeAnchor>
  <cdr:relSizeAnchor xmlns:cdr="http://schemas.openxmlformats.org/drawingml/2006/chartDrawing">
    <cdr:from>
      <cdr:x>0.64178</cdr:x>
      <cdr:y>0.93143</cdr:y>
    </cdr:from>
    <cdr:to>
      <cdr:x>0.78064</cdr:x>
      <cdr:y>0.9874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6624" y="3330127"/>
          <a:ext cx="485411" cy="199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Anions</a:t>
          </a:r>
        </a:p>
      </cdr:txBody>
    </cdr:sp>
  </cdr:relSizeAnchor>
  <cdr:relSizeAnchor xmlns:cdr="http://schemas.openxmlformats.org/drawingml/2006/chartDrawing">
    <cdr:from>
      <cdr:x>0.01362</cdr:x>
      <cdr:y>0.01333</cdr:y>
    </cdr:from>
    <cdr:to>
      <cdr:x>0.1036</cdr:x>
      <cdr:y>0.0693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314539" cy="199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Stiff</a:t>
          </a:r>
        </a:p>
      </cdr:txBody>
    </cdr:sp>
  </cdr:relSizeAnchor>
  <cdr:relSizeAnchor xmlns:cdr="http://schemas.openxmlformats.org/drawingml/2006/chartDrawing">
    <cdr:from>
      <cdr:x>0.57612</cdr:x>
      <cdr:y>0.01333</cdr:y>
    </cdr:from>
    <cdr:to>
      <cdr:x>0.8981</cdr:x>
      <cdr:y>0.06857</cdr:y>
    </cdr:to>
    <cdr:sp macro="" textlink="Symbols!$B$1">
      <cdr:nvSpPr>
        <cdr:cNvPr id="3076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017096" y="50800"/>
          <a:ext cx="1125540" cy="1972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36576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1DE6D0FB-0068-4B58-923A-E58704B6CBC0}" type="TxLink">
            <a:rPr lang="en-ZA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Hem 10</a:t>
          </a:fld>
          <a:endParaRPr lang="en-ZA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0.78897</cdr:x>
      <cdr:y>0.06519</cdr:y>
    </cdr:from>
    <cdr:to>
      <cdr:x>0.91501</cdr:x>
      <cdr:y>0.11903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9675" y="245348"/>
          <a:ext cx="523437" cy="1999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Anions</a:t>
          </a:r>
        </a:p>
      </cdr:txBody>
    </cdr:sp>
  </cdr:relSizeAnchor>
  <cdr:relSizeAnchor xmlns:cdr="http://schemas.openxmlformats.org/drawingml/2006/chartDrawing">
    <cdr:from>
      <cdr:x>0.91403</cdr:x>
      <cdr:y>0.84882</cdr:y>
    </cdr:from>
    <cdr:to>
      <cdr:x>0.98731</cdr:x>
      <cdr:y>0.90265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9054" y="3156331"/>
          <a:ext cx="304324" cy="1999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Cl</a:t>
          </a:r>
        </a:p>
      </cdr:txBody>
    </cdr:sp>
  </cdr:relSizeAnchor>
  <cdr:relSizeAnchor xmlns:cdr="http://schemas.openxmlformats.org/drawingml/2006/chartDrawing">
    <cdr:from>
      <cdr:x>0.39692</cdr:x>
      <cdr:y>0.01282</cdr:y>
    </cdr:from>
    <cdr:to>
      <cdr:x>0.4702</cdr:x>
      <cdr:y>0.06665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1543" y="50800"/>
          <a:ext cx="304324" cy="1999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SO4</a:t>
          </a:r>
        </a:p>
      </cdr:txBody>
    </cdr:sp>
  </cdr:relSizeAnchor>
  <cdr:relSizeAnchor xmlns:cdr="http://schemas.openxmlformats.org/drawingml/2006/chartDrawing">
    <cdr:from>
      <cdr:x>0.01147</cdr:x>
      <cdr:y>0.84882</cdr:y>
    </cdr:from>
    <cdr:to>
      <cdr:x>0.08475</cdr:x>
      <cdr:y>0.90265</cdr:y>
    </cdr:to>
    <cdr:sp macro="" textlink="">
      <cdr:nvSpPr>
        <cdr:cNvPr id="184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56331"/>
          <a:ext cx="304324" cy="1999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TAL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0.1012</cdr:x>
      <cdr:y>0.06571</cdr:y>
    </cdr:from>
    <cdr:to>
      <cdr:x>0.22844</cdr:x>
      <cdr:y>0.11978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594" y="246641"/>
          <a:ext cx="523546" cy="200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Cations</a:t>
          </a:r>
        </a:p>
      </cdr:txBody>
    </cdr:sp>
  </cdr:relSizeAnchor>
  <cdr:relSizeAnchor xmlns:cdr="http://schemas.openxmlformats.org/drawingml/2006/chartDrawing">
    <cdr:from>
      <cdr:x>0.91419</cdr:x>
      <cdr:y>0.85513</cdr:y>
    </cdr:from>
    <cdr:to>
      <cdr:x>0.98818</cdr:x>
      <cdr:y>0.9092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4864" y="3171623"/>
          <a:ext cx="304481" cy="200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Na</a:t>
          </a:r>
        </a:p>
      </cdr:txBody>
    </cdr:sp>
  </cdr:relSizeAnchor>
  <cdr:relSizeAnchor xmlns:cdr="http://schemas.openxmlformats.org/drawingml/2006/chartDrawing">
    <cdr:from>
      <cdr:x>0.52149</cdr:x>
      <cdr:y>0.01285</cdr:y>
    </cdr:from>
    <cdr:to>
      <cdr:x>0.59549</cdr:x>
      <cdr:y>0.06693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9005" y="50800"/>
          <a:ext cx="304481" cy="200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Mg</a:t>
          </a:r>
        </a:p>
      </cdr:txBody>
    </cdr:sp>
  </cdr:relSizeAnchor>
  <cdr:relSizeAnchor xmlns:cdr="http://schemas.openxmlformats.org/drawingml/2006/chartDrawing">
    <cdr:from>
      <cdr:x>0.01157</cdr:x>
      <cdr:y>0.85513</cdr:y>
    </cdr:from>
    <cdr:to>
      <cdr:x>0.08557</cdr:x>
      <cdr:y>0.9092</cdr:y>
    </cdr:to>
    <cdr:sp macro="" textlink="">
      <cdr:nvSpPr>
        <cdr:cNvPr id="17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71623"/>
          <a:ext cx="304481" cy="200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Ca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0.00882</cdr:x>
      <cdr:y>0.0102</cdr:y>
    </cdr:from>
    <cdr:to>
      <cdr:x>0.0793</cdr:x>
      <cdr:y>0.05306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380664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Piper</a:t>
          </a:r>
        </a:p>
      </cdr:txBody>
    </cdr:sp>
  </cdr:relSizeAnchor>
  <cdr:relSizeAnchor xmlns:cdr="http://schemas.openxmlformats.org/drawingml/2006/chartDrawing">
    <cdr:from>
      <cdr:x>0.21683</cdr:x>
      <cdr:y>0.16694</cdr:y>
    </cdr:from>
    <cdr:to>
      <cdr:x>0.25908</cdr:x>
      <cdr:y>0.45469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4224" y="782320"/>
          <a:ext cx="228133" cy="1343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ZA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Increasing SO4 and Cl -&gt;</a:t>
          </a:r>
        </a:p>
      </cdr:txBody>
    </cdr:sp>
  </cdr:relSizeAnchor>
  <cdr:relSizeAnchor xmlns:cdr="http://schemas.openxmlformats.org/drawingml/2006/chartDrawing">
    <cdr:from>
      <cdr:x>0.7311</cdr:x>
      <cdr:y>0.14808</cdr:y>
    </cdr:from>
    <cdr:to>
      <cdr:x>0.77334</cdr:x>
      <cdr:y>0.43388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51614" y="694309"/>
          <a:ext cx="228133" cy="1333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ZA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Increasing Ca and Mg -&gt;</a:t>
          </a:r>
        </a:p>
      </cdr:txBody>
    </cdr:sp>
  </cdr:relSizeAnchor>
  <cdr:relSizeAnchor xmlns:cdr="http://schemas.openxmlformats.org/drawingml/2006/chartDrawing">
    <cdr:from>
      <cdr:x>0.7311</cdr:x>
      <cdr:y>0.0102</cdr:y>
    </cdr:from>
    <cdr:to>
      <cdr:x>0.98553</cdr:x>
      <cdr:y>0.05429</cdr:y>
    </cdr:to>
    <cdr:sp macro="" textlink="Symbols!$B$1">
      <cdr:nvSpPr>
        <cdr:cNvPr id="19460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951614" y="50800"/>
          <a:ext cx="1374105" cy="205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36576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9A3802B2-8B3F-4BEB-BCF0-14690FE46016}" type="TxLink">
            <a:rPr lang="en-ZA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Hem 10</a:t>
          </a:fld>
          <a:endParaRPr lang="en-ZA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0</xdr:rowOff>
    </xdr:from>
    <xdr:to>
      <xdr:col>11</xdr:col>
      <xdr:colOff>304800</xdr:colOff>
      <xdr:row>26</xdr:row>
      <xdr:rowOff>76200</xdr:rowOff>
    </xdr:to>
    <xdr:graphicFrame macro="">
      <xdr:nvGraphicFramePr>
        <xdr:cNvPr id="378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lberbauerM@dwa.gov.za&amp;cc=VermaakE@dwa.gov.za?subject=Maucha%20Diagrams%20in%20Excel%20spreadsheet" TargetMode="External"/><Relationship Id="rId1" Type="http://schemas.openxmlformats.org/officeDocument/2006/relationships/hyperlink" Target="http://www.dwa.gov.za/iwq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A33" sqref="A33"/>
    </sheetView>
  </sheetViews>
  <sheetFormatPr defaultRowHeight="12.75"/>
  <sheetData>
    <row r="1" spans="1:4">
      <c r="A1" t="s">
        <v>198</v>
      </c>
    </row>
    <row r="2" spans="1:4">
      <c r="A2" t="s">
        <v>196</v>
      </c>
    </row>
    <row r="3" spans="1:4">
      <c r="A3" t="s">
        <v>217</v>
      </c>
    </row>
    <row r="4" spans="1:4">
      <c r="A4" s="186" t="s">
        <v>223</v>
      </c>
    </row>
    <row r="5" spans="1:4">
      <c r="A5" t="s">
        <v>199</v>
      </c>
    </row>
    <row r="6" spans="1:4">
      <c r="A6" t="s">
        <v>200</v>
      </c>
    </row>
    <row r="7" spans="1:4">
      <c r="A7" t="s">
        <v>218</v>
      </c>
    </row>
    <row r="8" spans="1:4">
      <c r="A8" t="s">
        <v>220</v>
      </c>
    </row>
    <row r="9" spans="1:4">
      <c r="A9" s="6" t="s">
        <v>219</v>
      </c>
      <c r="D9" s="6" t="s">
        <v>48</v>
      </c>
    </row>
    <row r="10" spans="1:4">
      <c r="D10" s="6"/>
    </row>
    <row r="11" spans="1:4">
      <c r="A11" t="s">
        <v>197</v>
      </c>
      <c r="D11" s="5"/>
    </row>
    <row r="12" spans="1:4">
      <c r="A12" t="s">
        <v>27</v>
      </c>
    </row>
    <row r="13" spans="1:4">
      <c r="A13" t="s">
        <v>28</v>
      </c>
    </row>
    <row r="14" spans="1:4">
      <c r="A14" t="s">
        <v>40</v>
      </c>
    </row>
    <row r="15" spans="1:4">
      <c r="A15" t="s">
        <v>47</v>
      </c>
    </row>
    <row r="16" spans="1:4">
      <c r="A16" t="s">
        <v>41</v>
      </c>
    </row>
    <row r="17" spans="1:1">
      <c r="A17" t="s">
        <v>42</v>
      </c>
    </row>
    <row r="18" spans="1:1">
      <c r="A18" t="s">
        <v>43</v>
      </c>
    </row>
    <row r="19" spans="1:1">
      <c r="A19" t="s">
        <v>30</v>
      </c>
    </row>
    <row r="20" spans="1:1">
      <c r="A20" t="s">
        <v>29</v>
      </c>
    </row>
    <row r="21" spans="1:1">
      <c r="A21" t="s">
        <v>31</v>
      </c>
    </row>
    <row r="22" spans="1:1">
      <c r="A22" t="s">
        <v>32</v>
      </c>
    </row>
    <row r="23" spans="1:1">
      <c r="A23" t="s">
        <v>33</v>
      </c>
    </row>
    <row r="24" spans="1:1">
      <c r="A24" t="s">
        <v>29</v>
      </c>
    </row>
    <row r="25" spans="1:1">
      <c r="A25" t="s">
        <v>34</v>
      </c>
    </row>
    <row r="26" spans="1:1">
      <c r="A26" t="s">
        <v>35</v>
      </c>
    </row>
    <row r="27" spans="1:1">
      <c r="A27" t="s">
        <v>36</v>
      </c>
    </row>
    <row r="28" spans="1:1">
      <c r="A28" t="s">
        <v>37</v>
      </c>
    </row>
    <row r="29" spans="1:1">
      <c r="A29" t="s">
        <v>29</v>
      </c>
    </row>
    <row r="30" spans="1:1">
      <c r="A30" t="s">
        <v>44</v>
      </c>
    </row>
    <row r="31" spans="1:1">
      <c r="A31" t="s">
        <v>45</v>
      </c>
    </row>
    <row r="32" spans="1:1">
      <c r="A32" t="s">
        <v>46</v>
      </c>
    </row>
  </sheetData>
  <phoneticPr fontId="0" type="noConversion"/>
  <hyperlinks>
    <hyperlink ref="D9" r:id="rId1" tooltip="RQS web site"/>
    <hyperlink ref="A9" r:id="rId2" tooltip="Send mail to author"/>
  </hyperlinks>
  <printOptions gridLines="1" gridLinesSet="0"/>
  <pageMargins left="0.75" right="0.75" top="1" bottom="1" header="0.5" footer="0.5"/>
  <pageSetup paperSize="9" orientation="portrait" r:id="rId3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33"/>
  <sheetViews>
    <sheetView tabSelected="1" zoomScale="75" workbookViewId="0">
      <selection activeCell="J4" sqref="J4"/>
    </sheetView>
  </sheetViews>
  <sheetFormatPr defaultColWidth="10.28515625" defaultRowHeight="12.75"/>
  <cols>
    <col min="1" max="1" width="11.5703125" style="2" customWidth="1"/>
    <col min="2" max="2" width="12.140625" style="4" customWidth="1"/>
    <col min="3" max="3" width="9.7109375" style="1" customWidth="1"/>
    <col min="4" max="4" width="11.85546875" customWidth="1"/>
    <col min="5" max="5" width="9.7109375" style="1" customWidth="1"/>
    <col min="6" max="6" width="10.28515625" customWidth="1"/>
    <col min="7" max="7" width="9.7109375" style="1" customWidth="1"/>
    <col min="8" max="8" width="10.28515625" customWidth="1"/>
    <col min="9" max="9" width="9.7109375" style="1" customWidth="1"/>
    <col min="10" max="10" width="10.28515625" customWidth="1"/>
    <col min="11" max="11" width="9.7109375" style="1" customWidth="1"/>
    <col min="12" max="12" width="10.28515625" customWidth="1"/>
    <col min="13" max="13" width="9.7109375" style="1" customWidth="1"/>
    <col min="14" max="18" width="10.28515625" customWidth="1"/>
    <col min="19" max="19" width="4" bestFit="1" customWidth="1"/>
  </cols>
  <sheetData>
    <row r="1" spans="1:20" s="7" customFormat="1" ht="16.5" thickBot="1">
      <c r="A1" s="8" t="s">
        <v>0</v>
      </c>
      <c r="B1" s="64" t="str">
        <f ca="1">INDIRECT("Data!A"&amp;P1)</f>
        <v>Hem 10</v>
      </c>
      <c r="C1" s="9"/>
      <c r="D1" s="10" t="s">
        <v>190</v>
      </c>
      <c r="E1" s="9"/>
      <c r="F1" s="11"/>
      <c r="G1" s="9"/>
      <c r="H1" s="11"/>
      <c r="I1" s="9"/>
      <c r="J1" s="11"/>
      <c r="K1" s="9"/>
      <c r="L1" s="11"/>
      <c r="M1" s="9"/>
      <c r="N1" s="11"/>
      <c r="O1" s="11"/>
      <c r="P1" s="187">
        <v>60</v>
      </c>
      <c r="S1" s="75" t="s">
        <v>189</v>
      </c>
    </row>
    <row r="2" spans="1:20">
      <c r="A2" s="12" t="s">
        <v>1</v>
      </c>
      <c r="B2" s="13">
        <v>8</v>
      </c>
      <c r="C2" s="14"/>
      <c r="D2" s="13">
        <v>7</v>
      </c>
      <c r="E2" s="14"/>
      <c r="F2" s="13">
        <v>6</v>
      </c>
      <c r="G2" s="14"/>
      <c r="H2" s="13">
        <v>5</v>
      </c>
      <c r="I2" s="14"/>
      <c r="J2" s="13">
        <v>4</v>
      </c>
      <c r="K2" s="14"/>
      <c r="L2" s="13">
        <v>2</v>
      </c>
      <c r="M2" s="14"/>
      <c r="N2" s="13">
        <v>1</v>
      </c>
      <c r="O2" s="15"/>
      <c r="P2" s="15"/>
      <c r="S2">
        <v>2</v>
      </c>
      <c r="T2" s="189" t="str">
        <f>Data!A2</f>
        <v>A2H027</v>
      </c>
    </row>
    <row r="3" spans="1:20" ht="16.5" thickBot="1">
      <c r="A3" s="16" t="s">
        <v>2</v>
      </c>
      <c r="B3" s="17" t="s">
        <v>3</v>
      </c>
      <c r="C3" s="14"/>
      <c r="D3" s="17" t="s">
        <v>4</v>
      </c>
      <c r="E3" s="14"/>
      <c r="F3" s="17" t="s">
        <v>5</v>
      </c>
      <c r="G3" s="14"/>
      <c r="H3" s="17" t="s">
        <v>6</v>
      </c>
      <c r="I3" s="14"/>
      <c r="J3" s="17" t="s">
        <v>7</v>
      </c>
      <c r="K3" s="215" t="s">
        <v>224</v>
      </c>
      <c r="L3" s="17" t="s">
        <v>8</v>
      </c>
      <c r="M3" s="14"/>
      <c r="N3" s="17" t="s">
        <v>9</v>
      </c>
      <c r="O3" s="15"/>
      <c r="P3" s="15"/>
      <c r="S3" s="75">
        <f>S2+1</f>
        <v>3</v>
      </c>
      <c r="T3" s="189" t="str">
        <f>Data!A3</f>
        <v>Woolies sparkling spring water</v>
      </c>
    </row>
    <row r="4" spans="1:20" ht="14.25" thickTop="1" thickBot="1">
      <c r="A4" s="16" t="s">
        <v>10</v>
      </c>
      <c r="B4" s="177">
        <f ca="1">INDIRECT("Data!E"&amp;P1)</f>
        <v>37</v>
      </c>
      <c r="C4" s="18" t="s">
        <v>10</v>
      </c>
      <c r="D4" s="178">
        <f ca="1">INDIRECT("Data!D"&amp;P1)</f>
        <v>24</v>
      </c>
      <c r="E4" s="18" t="s">
        <v>10</v>
      </c>
      <c r="F4" s="179">
        <f ca="1">INDIRECT("Data!F"&amp;P1)</f>
        <v>1010</v>
      </c>
      <c r="G4" s="18" t="s">
        <v>10</v>
      </c>
      <c r="H4" s="63">
        <f ca="1">INDIRECT("Data!G"&amp;P1)</f>
        <v>82</v>
      </c>
      <c r="I4" s="18" t="s">
        <v>10</v>
      </c>
      <c r="J4" s="188">
        <f ca="1">INDIRECT("Data!H"&amp;P1)</f>
        <v>429</v>
      </c>
      <c r="K4" s="18" t="s">
        <v>10</v>
      </c>
      <c r="L4" s="180">
        <f ca="1">INDIRECT("Data!C"&amp;P1)</f>
        <v>0</v>
      </c>
      <c r="M4" s="18" t="s">
        <v>10</v>
      </c>
      <c r="N4" s="181">
        <f ca="1">INDIRECT("Data!B"&amp;P1)</f>
        <v>611</v>
      </c>
      <c r="O4" s="18" t="s">
        <v>10</v>
      </c>
      <c r="P4" s="15"/>
      <c r="S4" s="75">
        <f t="shared" ref="S4:S67" si="0">S3+1</f>
        <v>4</v>
      </c>
      <c r="T4" s="189" t="str">
        <f>Data!A4</f>
        <v>SP118</v>
      </c>
    </row>
    <row r="5" spans="1:20">
      <c r="A5" s="19" t="s">
        <v>11</v>
      </c>
      <c r="B5" s="20">
        <v>2</v>
      </c>
      <c r="C5" s="14"/>
      <c r="D5" s="20">
        <v>2</v>
      </c>
      <c r="E5" s="14"/>
      <c r="F5" s="20">
        <v>2</v>
      </c>
      <c r="G5" s="14"/>
      <c r="H5" s="20">
        <v>1</v>
      </c>
      <c r="I5" s="14"/>
      <c r="J5" s="20">
        <v>2</v>
      </c>
      <c r="K5" s="14"/>
      <c r="L5" s="20">
        <v>1</v>
      </c>
      <c r="M5" s="14"/>
      <c r="N5" s="20">
        <v>1</v>
      </c>
      <c r="O5" s="15"/>
      <c r="P5" s="15"/>
      <c r="S5" s="75">
        <f t="shared" si="0"/>
        <v>5</v>
      </c>
      <c r="T5" s="189" t="str">
        <f>Data!A5</f>
        <v>SLH-I1</v>
      </c>
    </row>
    <row r="6" spans="1:20">
      <c r="A6" s="21" t="s">
        <v>12</v>
      </c>
      <c r="B6" s="22">
        <v>40.08</v>
      </c>
      <c r="C6" s="15"/>
      <c r="D6" s="22">
        <v>24.32</v>
      </c>
      <c r="E6" s="15"/>
      <c r="F6" s="22">
        <f>32.06+(4*16)</f>
        <v>96.06</v>
      </c>
      <c r="G6" s="15"/>
      <c r="H6" s="22">
        <v>35.450000000000003</v>
      </c>
      <c r="I6" s="15"/>
      <c r="J6" s="22">
        <v>100.08920000000001</v>
      </c>
      <c r="K6" s="15"/>
      <c r="L6" s="22">
        <v>39.095999999999997</v>
      </c>
      <c r="M6" s="15"/>
      <c r="N6" s="22">
        <v>22.997</v>
      </c>
      <c r="O6" s="15"/>
      <c r="P6" s="15"/>
      <c r="S6" s="75">
        <f t="shared" si="0"/>
        <v>6</v>
      </c>
      <c r="T6" s="189" t="str">
        <f>Data!A6</f>
        <v>SLH-I2</v>
      </c>
    </row>
    <row r="7" spans="1:20">
      <c r="A7" s="23" t="s">
        <v>39</v>
      </c>
      <c r="B7" s="24">
        <f ca="1">B4*B5/B6</f>
        <v>1.8463073852295411</v>
      </c>
      <c r="C7" s="25" t="s">
        <v>13</v>
      </c>
      <c r="D7" s="24">
        <f ca="1">D4*D5/D6</f>
        <v>1.9736842105263157</v>
      </c>
      <c r="E7" s="25" t="s">
        <v>13</v>
      </c>
      <c r="F7" s="24">
        <f ca="1">F4*F5/F6</f>
        <v>21.028523839267123</v>
      </c>
      <c r="G7" s="25" t="s">
        <v>13</v>
      </c>
      <c r="H7" s="24">
        <f ca="1">H4*H5/H6</f>
        <v>2.31311706629055</v>
      </c>
      <c r="I7" s="25" t="s">
        <v>13</v>
      </c>
      <c r="J7" s="24">
        <f ca="1">J4*J5/J6</f>
        <v>8.5723534607130443</v>
      </c>
      <c r="K7" s="25" t="s">
        <v>13</v>
      </c>
      <c r="L7" s="24">
        <f ca="1">L4*L5/L6</f>
        <v>0</v>
      </c>
      <c r="M7" s="25" t="s">
        <v>13</v>
      </c>
      <c r="N7" s="24">
        <f ca="1">N4*N5/N6</f>
        <v>26.568682871678917</v>
      </c>
      <c r="O7" s="25" t="s">
        <v>13</v>
      </c>
      <c r="P7" s="15"/>
      <c r="S7" s="75">
        <f t="shared" si="0"/>
        <v>7</v>
      </c>
      <c r="T7" s="189" t="str">
        <f>Data!A7</f>
        <v>SLH-I3</v>
      </c>
    </row>
    <row r="8" spans="1:20">
      <c r="A8" s="26" t="s">
        <v>108</v>
      </c>
      <c r="B8" s="15"/>
      <c r="C8" s="14"/>
      <c r="D8" s="15"/>
      <c r="E8" s="14"/>
      <c r="F8" s="15"/>
      <c r="G8" s="14"/>
      <c r="H8" s="27" t="s">
        <v>14</v>
      </c>
      <c r="I8" s="28"/>
      <c r="J8" s="29"/>
      <c r="K8" s="28"/>
      <c r="L8" s="27" t="s">
        <v>15</v>
      </c>
      <c r="M8" s="28"/>
      <c r="N8" s="195" t="s">
        <v>191</v>
      </c>
      <c r="O8" s="15"/>
      <c r="P8" s="15"/>
      <c r="S8" s="75">
        <f t="shared" si="0"/>
        <v>8</v>
      </c>
      <c r="T8" s="189" t="str">
        <f>Data!A8</f>
        <v>SLH-II4</v>
      </c>
    </row>
    <row r="9" spans="1:20">
      <c r="A9" s="15"/>
      <c r="B9" s="15"/>
      <c r="C9" s="14"/>
      <c r="D9" s="15"/>
      <c r="E9" s="14"/>
      <c r="F9" s="15"/>
      <c r="G9" s="14"/>
      <c r="H9" s="30">
        <f ca="1">F7+H7+J7</f>
        <v>31.913994366270721</v>
      </c>
      <c r="I9" s="25" t="s">
        <v>13</v>
      </c>
      <c r="J9" s="24"/>
      <c r="K9" s="31"/>
      <c r="L9" s="30">
        <f ca="1">B7+D7+L7+N7</f>
        <v>30.388674467434775</v>
      </c>
      <c r="M9" s="25" t="s">
        <v>13</v>
      </c>
      <c r="N9" s="194">
        <f ca="1">(L9-H9)/L9</f>
        <v>-5.0193696354558497E-2</v>
      </c>
      <c r="O9" s="15"/>
      <c r="P9" s="15"/>
      <c r="S9" s="75">
        <f t="shared" si="0"/>
        <v>9</v>
      </c>
      <c r="T9" s="189" t="str">
        <f>Data!A9</f>
        <v>SLH-II5</v>
      </c>
    </row>
    <row r="10" spans="1:20">
      <c r="A10" s="26"/>
      <c r="B10" s="15"/>
      <c r="C10" s="14"/>
      <c r="D10" s="15"/>
      <c r="E10" s="14"/>
      <c r="F10" s="15"/>
      <c r="G10" s="14"/>
      <c r="H10" s="24"/>
      <c r="I10" s="31"/>
      <c r="J10" s="32" t="s">
        <v>16</v>
      </c>
      <c r="K10" s="31"/>
      <c r="L10" s="24"/>
      <c r="M10" s="28"/>
      <c r="N10" s="15"/>
      <c r="O10" s="15"/>
      <c r="P10" s="15"/>
      <c r="S10" s="75">
        <f t="shared" si="0"/>
        <v>10</v>
      </c>
      <c r="T10" s="189" t="str">
        <f>Data!A10</f>
        <v>SLH-II6</v>
      </c>
    </row>
    <row r="11" spans="1:20">
      <c r="A11" s="15"/>
      <c r="B11" s="15"/>
      <c r="C11" s="14"/>
      <c r="D11" s="15"/>
      <c r="E11" s="14"/>
      <c r="F11" s="15"/>
      <c r="G11" s="14"/>
      <c r="H11" s="24"/>
      <c r="I11" s="31"/>
      <c r="J11" s="30">
        <f ca="1">H9+L9</f>
        <v>62.302668833705496</v>
      </c>
      <c r="K11" s="25" t="s">
        <v>13</v>
      </c>
      <c r="L11" s="24"/>
      <c r="M11" s="28"/>
      <c r="N11" s="15"/>
      <c r="O11" s="15"/>
      <c r="P11" s="15"/>
      <c r="S11" s="75">
        <f t="shared" si="0"/>
        <v>11</v>
      </c>
      <c r="T11" s="189" t="str">
        <f>Data!A11</f>
        <v>SLH-II7</v>
      </c>
    </row>
    <row r="12" spans="1:20">
      <c r="A12" s="33" t="s">
        <v>17</v>
      </c>
      <c r="B12" s="34">
        <f ca="1">2000*LN(J11+1)</f>
        <v>8295.8549798625318</v>
      </c>
      <c r="C12" s="35"/>
      <c r="D12" s="34"/>
      <c r="E12" s="35"/>
      <c r="F12" s="34"/>
      <c r="G12" s="35"/>
      <c r="H12" s="34"/>
      <c r="I12" s="35"/>
      <c r="J12" s="34"/>
      <c r="K12" s="35"/>
      <c r="L12" s="34"/>
      <c r="M12" s="35"/>
      <c r="N12" s="34"/>
      <c r="O12" s="36"/>
      <c r="P12" s="15"/>
      <c r="S12" s="75">
        <f t="shared" si="0"/>
        <v>12</v>
      </c>
      <c r="T12" s="189" t="str">
        <f>Data!A12</f>
        <v>SLH-III8</v>
      </c>
    </row>
    <row r="13" spans="1:20">
      <c r="A13" s="37" t="s">
        <v>18</v>
      </c>
      <c r="B13" s="38">
        <f ca="1">SQRT(0.125*B12/(SIN(RADIANS(22.5))))</f>
        <v>52.055395682565035</v>
      </c>
      <c r="C13" s="39"/>
      <c r="D13" s="38"/>
      <c r="E13" s="39"/>
      <c r="F13" s="38"/>
      <c r="G13" s="39"/>
      <c r="H13" s="38"/>
      <c r="I13" s="39"/>
      <c r="J13" s="38"/>
      <c r="K13" s="39"/>
      <c r="L13" s="38"/>
      <c r="M13" s="39"/>
      <c r="N13" s="38"/>
      <c r="O13" s="40"/>
      <c r="P13" s="15"/>
      <c r="S13" s="75">
        <f t="shared" si="0"/>
        <v>13</v>
      </c>
      <c r="T13" s="189" t="str">
        <f>Data!A13</f>
        <v>SLH-III9</v>
      </c>
    </row>
    <row r="14" spans="1:20">
      <c r="A14" s="37" t="s">
        <v>19</v>
      </c>
      <c r="B14" s="38">
        <f ca="1">B7/$J$11*$B$12</f>
        <v>245.84337401333258</v>
      </c>
      <c r="C14" s="39"/>
      <c r="D14" s="38">
        <f ca="1">D7/$J$11*$B$12</f>
        <v>262.80411887769475</v>
      </c>
      <c r="E14" s="39"/>
      <c r="F14" s="38">
        <f ca="1">F7/$J$11*$B$12</f>
        <v>2800.0338906311122</v>
      </c>
      <c r="G14" s="39"/>
      <c r="H14" s="38">
        <f ca="1">H7/$J$11*$B$12</f>
        <v>308.00099085017274</v>
      </c>
      <c r="I14" s="39"/>
      <c r="J14" s="38">
        <f ca="1">J7/$J$11*$B$12</f>
        <v>1141.44389762843</v>
      </c>
      <c r="K14" s="39"/>
      <c r="L14" s="38">
        <f ca="1">L7/$J$11*$B$12</f>
        <v>0</v>
      </c>
      <c r="M14" s="39"/>
      <c r="N14" s="38">
        <f ca="1">N7/$J$11*$B$12</f>
        <v>3537.7287078617887</v>
      </c>
      <c r="O14" s="40"/>
      <c r="P14" s="15"/>
      <c r="S14" s="75">
        <f t="shared" si="0"/>
        <v>14</v>
      </c>
      <c r="T14" s="189">
        <f>Data!A14</f>
        <v>0</v>
      </c>
    </row>
    <row r="15" spans="1:20">
      <c r="A15" s="37" t="s">
        <v>20</v>
      </c>
      <c r="B15" s="38">
        <f ca="1">B14/($B$13*SIN(RADIANS(22.5)))</f>
        <v>12.341077939540275</v>
      </c>
      <c r="C15" s="39"/>
      <c r="D15" s="38">
        <f ca="1">D14/($B$13*SIN(RADIANS(22.5)))</f>
        <v>13.192489433235442</v>
      </c>
      <c r="E15" s="39"/>
      <c r="F15" s="38">
        <f ca="1">F14/($B$13*SIN(RADIANS(22.5)))</f>
        <v>140.55874646334269</v>
      </c>
      <c r="G15" s="39"/>
      <c r="H15" s="38">
        <f ca="1">H14/($B$13*SIN(RADIANS(22.5)))</f>
        <v>15.461324710469819</v>
      </c>
      <c r="I15" s="39"/>
      <c r="J15" s="38">
        <f ca="1">J14/($B$13*SIN(RADIANS(22.5)))</f>
        <v>57.299279107197492</v>
      </c>
      <c r="K15" s="39"/>
      <c r="L15" s="38">
        <f ca="1">L14/($B$13*SIN(RADIANS(22.5)))</f>
        <v>0</v>
      </c>
      <c r="M15" s="39"/>
      <c r="N15" s="38">
        <f ca="1">N14/($B$13*SIN(RADIANS(22.5)))</f>
        <v>177.59024780673448</v>
      </c>
      <c r="O15" s="40"/>
      <c r="P15" s="15"/>
      <c r="S15" s="75">
        <f t="shared" si="0"/>
        <v>15</v>
      </c>
      <c r="T15" s="189">
        <f>Data!A15</f>
        <v>188188</v>
      </c>
    </row>
    <row r="16" spans="1:20">
      <c r="A16" s="37" t="s">
        <v>21</v>
      </c>
      <c r="B16" s="41">
        <f>B2-1</f>
        <v>7</v>
      </c>
      <c r="C16" s="42"/>
      <c r="D16" s="41">
        <f>D2-1</f>
        <v>6</v>
      </c>
      <c r="E16" s="42"/>
      <c r="F16" s="41">
        <f>F2-1</f>
        <v>5</v>
      </c>
      <c r="G16" s="42"/>
      <c r="H16" s="41">
        <f>H2-1</f>
        <v>4</v>
      </c>
      <c r="I16" s="42"/>
      <c r="J16" s="41">
        <f>J2-1</f>
        <v>3</v>
      </c>
      <c r="K16" s="42"/>
      <c r="L16" s="41">
        <f>L2-1</f>
        <v>1</v>
      </c>
      <c r="M16" s="42"/>
      <c r="N16" s="41">
        <f>N2-1</f>
        <v>0</v>
      </c>
      <c r="O16" s="40"/>
      <c r="P16" s="15"/>
      <c r="S16" s="75">
        <f t="shared" si="0"/>
        <v>16</v>
      </c>
      <c r="T16" s="189" t="str">
        <f>Data!A16</f>
        <v>H1H006Q01</v>
      </c>
    </row>
    <row r="17" spans="1:20">
      <c r="A17" s="37" t="s">
        <v>22</v>
      </c>
      <c r="B17" s="41">
        <f>45*B16</f>
        <v>315</v>
      </c>
      <c r="C17" s="42"/>
      <c r="D17" s="41">
        <f>45*D16</f>
        <v>270</v>
      </c>
      <c r="E17" s="42"/>
      <c r="F17" s="41">
        <f>45*F16</f>
        <v>225</v>
      </c>
      <c r="G17" s="42"/>
      <c r="H17" s="41">
        <f>45*H16</f>
        <v>180</v>
      </c>
      <c r="I17" s="42"/>
      <c r="J17" s="41">
        <f>45*J16</f>
        <v>135</v>
      </c>
      <c r="K17" s="42"/>
      <c r="L17" s="41">
        <f>45*L16</f>
        <v>45</v>
      </c>
      <c r="M17" s="42"/>
      <c r="N17" s="41">
        <f>45*N16</f>
        <v>0</v>
      </c>
      <c r="O17" s="40"/>
      <c r="P17" s="15"/>
      <c r="S17" s="75">
        <f t="shared" si="0"/>
        <v>17</v>
      </c>
      <c r="T17" s="189" t="str">
        <f>Data!A17</f>
        <v>G4H022Q01</v>
      </c>
    </row>
    <row r="18" spans="1:20">
      <c r="A18" s="37" t="s">
        <v>23</v>
      </c>
      <c r="B18" s="41">
        <f>22.5+B17</f>
        <v>337.5</v>
      </c>
      <c r="C18" s="42"/>
      <c r="D18" s="41">
        <f>22.5+D17</f>
        <v>292.5</v>
      </c>
      <c r="E18" s="42"/>
      <c r="F18" s="41">
        <f>22.5+F17</f>
        <v>247.5</v>
      </c>
      <c r="G18" s="42"/>
      <c r="H18" s="41">
        <f>22.5+H17</f>
        <v>202.5</v>
      </c>
      <c r="I18" s="42"/>
      <c r="J18" s="41">
        <f>22.5+J17</f>
        <v>157.5</v>
      </c>
      <c r="K18" s="42"/>
      <c r="L18" s="41">
        <f>22.5+L17</f>
        <v>67.5</v>
      </c>
      <c r="M18" s="42"/>
      <c r="N18" s="41">
        <f>22.5+N17</f>
        <v>22.5</v>
      </c>
      <c r="O18" s="40"/>
      <c r="P18" s="15"/>
      <c r="S18" s="75">
        <f t="shared" si="0"/>
        <v>18</v>
      </c>
      <c r="T18" s="189" t="str">
        <f>Data!A18</f>
        <v>G2H007Q01</v>
      </c>
    </row>
    <row r="19" spans="1:20">
      <c r="A19" s="37" t="s">
        <v>24</v>
      </c>
      <c r="B19" s="41">
        <f>45*B2</f>
        <v>360</v>
      </c>
      <c r="C19" s="42"/>
      <c r="D19" s="41">
        <f>45*D2</f>
        <v>315</v>
      </c>
      <c r="E19" s="42"/>
      <c r="F19" s="41">
        <f>45*F2</f>
        <v>270</v>
      </c>
      <c r="G19" s="42"/>
      <c r="H19" s="41">
        <f>45*H2</f>
        <v>225</v>
      </c>
      <c r="I19" s="42"/>
      <c r="J19" s="41">
        <f>45*J2</f>
        <v>180</v>
      </c>
      <c r="K19" s="42"/>
      <c r="L19" s="41">
        <f>45*L2</f>
        <v>90</v>
      </c>
      <c r="M19" s="42"/>
      <c r="N19" s="41">
        <f>45*N2</f>
        <v>45</v>
      </c>
      <c r="O19" s="40"/>
      <c r="P19" s="15"/>
      <c r="S19" s="75">
        <f t="shared" si="0"/>
        <v>19</v>
      </c>
      <c r="T19" s="189" t="str">
        <f>Data!A19</f>
        <v>G1H018Q01</v>
      </c>
    </row>
    <row r="20" spans="1:20">
      <c r="A20" s="43"/>
      <c r="B20" s="44" t="s">
        <v>25</v>
      </c>
      <c r="C20" s="45" t="s">
        <v>26</v>
      </c>
      <c r="D20" s="44" t="s">
        <v>25</v>
      </c>
      <c r="E20" s="45" t="s">
        <v>26</v>
      </c>
      <c r="F20" s="44" t="s">
        <v>25</v>
      </c>
      <c r="G20" s="45" t="s">
        <v>26</v>
      </c>
      <c r="H20" s="44" t="s">
        <v>25</v>
      </c>
      <c r="I20" s="45" t="s">
        <v>26</v>
      </c>
      <c r="J20" s="44" t="s">
        <v>25</v>
      </c>
      <c r="K20" s="45" t="s">
        <v>26</v>
      </c>
      <c r="L20" s="44" t="s">
        <v>25</v>
      </c>
      <c r="M20" s="45" t="s">
        <v>26</v>
      </c>
      <c r="N20" s="44" t="s">
        <v>25</v>
      </c>
      <c r="O20" s="46" t="s">
        <v>26</v>
      </c>
      <c r="P20" s="15"/>
      <c r="S20" s="75">
        <f t="shared" si="0"/>
        <v>20</v>
      </c>
      <c r="T20" s="189" t="str">
        <f>Data!A20</f>
        <v>G1H050S01</v>
      </c>
    </row>
    <row r="21" spans="1:20">
      <c r="A21" s="43"/>
      <c r="B21" s="47">
        <v>0</v>
      </c>
      <c r="C21" s="48">
        <v>0</v>
      </c>
      <c r="D21" s="47">
        <v>0</v>
      </c>
      <c r="E21" s="48">
        <v>0</v>
      </c>
      <c r="F21" s="47">
        <v>0</v>
      </c>
      <c r="G21" s="48">
        <v>0</v>
      </c>
      <c r="H21" s="47">
        <v>0</v>
      </c>
      <c r="I21" s="48">
        <v>0</v>
      </c>
      <c r="J21" s="47">
        <v>0</v>
      </c>
      <c r="K21" s="48">
        <v>0</v>
      </c>
      <c r="L21" s="47">
        <v>0</v>
      </c>
      <c r="M21" s="48">
        <v>0</v>
      </c>
      <c r="N21" s="47">
        <v>0</v>
      </c>
      <c r="O21" s="49">
        <v>0</v>
      </c>
      <c r="P21" s="15"/>
      <c r="S21" s="75">
        <f t="shared" si="0"/>
        <v>21</v>
      </c>
      <c r="T21" s="189">
        <f>Data!A21</f>
        <v>99830</v>
      </c>
    </row>
    <row r="22" spans="1:20">
      <c r="A22" s="43"/>
      <c r="B22" s="47">
        <f ca="1">$B$13*(COS(RADIANS(B17)))</f>
        <v>36.808723284490654</v>
      </c>
      <c r="C22" s="47">
        <f ca="1">$B$13*(SIN(RADIANS(B17)))</f>
        <v>-36.808723284490675</v>
      </c>
      <c r="D22" s="47">
        <f ca="1">$B$13*(COS(RADIANS(D17)))</f>
        <v>-9.5663381385227099E-15</v>
      </c>
      <c r="E22" s="47">
        <f ca="1">$B$13*(SIN(RADIANS(D17)))</f>
        <v>-52.055395682565035</v>
      </c>
      <c r="F22" s="47">
        <f ca="1">$B$13*(COS(RADIANS(F17)))</f>
        <v>-36.808723284490675</v>
      </c>
      <c r="G22" s="47">
        <f ca="1">$B$13*(SIN(RADIANS(F17)))</f>
        <v>-36.808723284490661</v>
      </c>
      <c r="H22" s="47">
        <f ca="1">$B$13*(COS(RADIANS(H17)))</f>
        <v>-52.055395682565035</v>
      </c>
      <c r="I22" s="47">
        <f ca="1">$B$13*(SIN(RADIANS(H17)))</f>
        <v>6.37755875901514E-15</v>
      </c>
      <c r="J22" s="47">
        <f ca="1">$B$13*(COS(RADIANS(J17)))</f>
        <v>-36.808723284490661</v>
      </c>
      <c r="K22" s="47">
        <f ca="1">$B$13*(SIN(RADIANS(J17)))</f>
        <v>36.808723284490668</v>
      </c>
      <c r="L22" s="47">
        <f ca="1">$B$13*(COS(RADIANS(L17)))</f>
        <v>36.808723284490668</v>
      </c>
      <c r="M22" s="47">
        <f ca="1">$B$13*(SIN(RADIANS(L17)))</f>
        <v>36.808723284490661</v>
      </c>
      <c r="N22" s="47">
        <f ca="1">$B$13*(COS(RADIANS(N17)))</f>
        <v>52.055395682565035</v>
      </c>
      <c r="O22" s="50">
        <f ca="1">$B$13*(SIN(RADIANS(N17)))</f>
        <v>0</v>
      </c>
      <c r="P22" s="15"/>
      <c r="S22" s="75">
        <f t="shared" si="0"/>
        <v>22</v>
      </c>
      <c r="T22" s="189" t="str">
        <f>Data!A22</f>
        <v>Q9H026Q01</v>
      </c>
    </row>
    <row r="23" spans="1:20">
      <c r="A23" s="43"/>
      <c r="B23" s="47">
        <f ca="1">B15*(COS(RADIANS(B18)))</f>
        <v>11.401669317467825</v>
      </c>
      <c r="C23" s="47">
        <f ca="1">B15*(SIN(RADIANS(B18)))</f>
        <v>-4.7227260649883593</v>
      </c>
      <c r="D23" s="47">
        <f ca="1">D15*(COS(RADIANS(D18)))</f>
        <v>5.0485471377507203</v>
      </c>
      <c r="E23" s="47">
        <f ca="1">D15*(SIN(RADIANS(D18)))</f>
        <v>-12.188270970237649</v>
      </c>
      <c r="F23" s="47">
        <f ca="1">F15*(COS(RADIANS(F18)))</f>
        <v>-53.789503545526365</v>
      </c>
      <c r="G23" s="47">
        <f ca="1">F15*(SIN(RADIANS(F18)))</f>
        <v>-129.85934897292555</v>
      </c>
      <c r="H23" s="47">
        <f ca="1">H15*(COS(RADIANS(H18)))</f>
        <v>-14.284401445514064</v>
      </c>
      <c r="I23" s="47">
        <f ca="1">H15*(SIN(RADIANS(H18)))</f>
        <v>-5.9167928091137671</v>
      </c>
      <c r="J23" s="47">
        <f ca="1">J15*(COS(RADIANS(J18)))</f>
        <v>-52.937631194791358</v>
      </c>
      <c r="K23" s="47">
        <f ca="1">J15*(SIN(RADIANS(J18)))</f>
        <v>21.927484800787621</v>
      </c>
      <c r="L23" s="47">
        <f ca="1">L15*(COS(RADIANS(L18)))</f>
        <v>0</v>
      </c>
      <c r="M23" s="47">
        <f ca="1">L15*(SIN(RADIANS(L18)))</f>
        <v>0</v>
      </c>
      <c r="N23" s="47">
        <f ca="1">N15*(COS(RADIANS(N18)))</f>
        <v>164.0719951222494</v>
      </c>
      <c r="O23" s="50">
        <f ca="1">N15*(SIN(RADIANS(N18)))</f>
        <v>67.960845585248009</v>
      </c>
      <c r="P23" s="15"/>
      <c r="S23" s="75">
        <f t="shared" si="0"/>
        <v>23</v>
      </c>
      <c r="T23" s="189">
        <f>Data!A23</f>
        <v>187107</v>
      </c>
    </row>
    <row r="24" spans="1:20">
      <c r="A24" s="43"/>
      <c r="B24" s="47">
        <f ca="1">$B$13*(COS(RADIANS(B19)))</f>
        <v>52.055395682565035</v>
      </c>
      <c r="C24" s="47">
        <f ca="1">$B$13*(SIN(RADIANS(B19)))</f>
        <v>-1.275511751803028E-14</v>
      </c>
      <c r="D24" s="47">
        <f ca="1">$B$13*(COS(RADIANS(D19)))</f>
        <v>36.808723284490654</v>
      </c>
      <c r="E24" s="47">
        <f ca="1">$B$13*(SIN(RADIANS(D19)))</f>
        <v>-36.808723284490675</v>
      </c>
      <c r="F24" s="47">
        <f ca="1">$B$13*(COS(RADIANS(F19)))</f>
        <v>-9.5663381385227099E-15</v>
      </c>
      <c r="G24" s="47">
        <f ca="1">$B$13*(SIN(RADIANS(F19)))</f>
        <v>-52.055395682565035</v>
      </c>
      <c r="H24" s="47">
        <f ca="1">$B$13*(COS(RADIANS(H19)))</f>
        <v>-36.808723284490675</v>
      </c>
      <c r="I24" s="47">
        <f ca="1">$B$13*(SIN(RADIANS(H19)))</f>
        <v>-36.808723284490661</v>
      </c>
      <c r="J24" s="47">
        <f ca="1">$B$13*(COS(RADIANS(J19)))</f>
        <v>-52.055395682565035</v>
      </c>
      <c r="K24" s="47">
        <f ca="1">$B$13*(SIN(RADIANS(J19)))</f>
        <v>6.37755875901514E-15</v>
      </c>
      <c r="L24" s="47">
        <f ca="1">$B$13*(COS(RADIANS(L19)))</f>
        <v>3.18877937950757E-15</v>
      </c>
      <c r="M24" s="47">
        <f ca="1">$B$13*(SIN(RADIANS(L19)))</f>
        <v>52.055395682565035</v>
      </c>
      <c r="N24" s="47">
        <f ca="1">$B$13*(COS(RADIANS(N19)))</f>
        <v>36.808723284490668</v>
      </c>
      <c r="O24" s="50">
        <f ca="1">$B$13*(SIN(RADIANS(N19)))</f>
        <v>36.808723284490661</v>
      </c>
      <c r="P24" s="15"/>
      <c r="S24" s="75">
        <f t="shared" si="0"/>
        <v>24</v>
      </c>
      <c r="T24" s="189">
        <f>Data!A24</f>
        <v>175543</v>
      </c>
    </row>
    <row r="25" spans="1:20">
      <c r="A25" s="51"/>
      <c r="B25" s="52">
        <v>0</v>
      </c>
      <c r="C25" s="53">
        <v>0</v>
      </c>
      <c r="D25" s="52">
        <v>0</v>
      </c>
      <c r="E25" s="53">
        <v>0</v>
      </c>
      <c r="F25" s="52">
        <v>0</v>
      </c>
      <c r="G25" s="53">
        <v>0</v>
      </c>
      <c r="H25" s="52">
        <v>0</v>
      </c>
      <c r="I25" s="53">
        <v>0</v>
      </c>
      <c r="J25" s="53">
        <v>0</v>
      </c>
      <c r="K25" s="53">
        <v>0</v>
      </c>
      <c r="L25" s="52">
        <v>0</v>
      </c>
      <c r="M25" s="53">
        <v>0</v>
      </c>
      <c r="N25" s="52">
        <v>0</v>
      </c>
      <c r="O25" s="54">
        <v>0</v>
      </c>
      <c r="P25" s="15"/>
      <c r="S25" s="75">
        <f t="shared" si="0"/>
        <v>25</v>
      </c>
      <c r="T25" s="189">
        <f>Data!A25</f>
        <v>175543</v>
      </c>
    </row>
    <row r="26" spans="1:20">
      <c r="A26" s="33" t="s">
        <v>38</v>
      </c>
      <c r="B26" s="55"/>
      <c r="C26" s="56"/>
      <c r="D26" s="15"/>
      <c r="E26" s="14"/>
      <c r="F26" s="15"/>
      <c r="G26" s="14"/>
      <c r="H26" s="15"/>
      <c r="I26" s="201"/>
      <c r="J26" s="15"/>
      <c r="K26" s="20"/>
      <c r="L26" s="13"/>
      <c r="M26" s="20"/>
      <c r="N26" s="13"/>
      <c r="O26" s="13"/>
      <c r="P26" s="15"/>
      <c r="S26" s="75">
        <f t="shared" si="0"/>
        <v>26</v>
      </c>
      <c r="T26" s="189" t="str">
        <f>Data!A26</f>
        <v>G2H009Q01</v>
      </c>
    </row>
    <row r="27" spans="1:20">
      <c r="A27" s="57">
        <v>0</v>
      </c>
      <c r="B27" s="47">
        <f t="shared" ref="B27:B43" ca="1" si="1">$B$13*(COS(RADIANS(A27)))</f>
        <v>52.055395682565035</v>
      </c>
      <c r="C27" s="49">
        <f t="shared" ref="C27:C43" ca="1" si="2">$B$13*(SIN(RADIANS(A27)))</f>
        <v>0</v>
      </c>
      <c r="D27" s="15"/>
      <c r="E27" s="14"/>
      <c r="F27" s="15"/>
      <c r="G27" s="14"/>
      <c r="H27" s="15"/>
      <c r="I27" s="14"/>
      <c r="J27" s="15"/>
      <c r="K27" s="20"/>
      <c r="L27" s="13"/>
      <c r="M27" s="20"/>
      <c r="N27" s="13"/>
      <c r="O27" s="13"/>
      <c r="P27" s="15"/>
      <c r="S27" s="75">
        <f t="shared" si="0"/>
        <v>27</v>
      </c>
      <c r="T27" s="189">
        <f>Data!A27</f>
        <v>170194</v>
      </c>
    </row>
    <row r="28" spans="1:20">
      <c r="A28" s="57">
        <v>22.5</v>
      </c>
      <c r="B28" s="47">
        <f t="shared" ca="1" si="1"/>
        <v>48.092914627898239</v>
      </c>
      <c r="C28" s="49">
        <f t="shared" ca="1" si="2"/>
        <v>19.920737492926865</v>
      </c>
      <c r="D28" s="15"/>
      <c r="E28" s="14"/>
      <c r="F28" s="15"/>
      <c r="G28" s="14"/>
      <c r="H28" s="15"/>
      <c r="I28" s="14"/>
      <c r="J28" s="15"/>
      <c r="K28" s="20"/>
      <c r="L28" s="13"/>
      <c r="M28" s="20"/>
      <c r="N28" s="13"/>
      <c r="O28" s="13"/>
      <c r="P28" s="15"/>
      <c r="S28" s="75">
        <f t="shared" si="0"/>
        <v>28</v>
      </c>
      <c r="T28" s="189" t="str">
        <f>Data!A28</f>
        <v>G1H016Q01</v>
      </c>
    </row>
    <row r="29" spans="1:20">
      <c r="A29" s="57">
        <v>45</v>
      </c>
      <c r="B29" s="47">
        <f t="shared" ca="1" si="1"/>
        <v>36.808723284490668</v>
      </c>
      <c r="C29" s="49">
        <f t="shared" ca="1" si="2"/>
        <v>36.808723284490661</v>
      </c>
      <c r="D29" s="15"/>
      <c r="E29" s="14"/>
      <c r="F29" s="15"/>
      <c r="G29" s="14"/>
      <c r="H29" s="15"/>
      <c r="I29" s="14"/>
      <c r="J29" s="15"/>
      <c r="K29" s="20"/>
      <c r="L29" s="13"/>
      <c r="M29" s="20"/>
      <c r="N29" s="13"/>
      <c r="O29" s="13"/>
      <c r="P29" s="15"/>
      <c r="S29" s="75">
        <f t="shared" si="0"/>
        <v>29</v>
      </c>
      <c r="T29" s="189" t="str">
        <f>Data!A29</f>
        <v>G2H010Q01</v>
      </c>
    </row>
    <row r="30" spans="1:20">
      <c r="A30" s="57">
        <v>67.5</v>
      </c>
      <c r="B30" s="47">
        <f t="shared" ca="1" si="1"/>
        <v>19.920737492926865</v>
      </c>
      <c r="C30" s="49">
        <f t="shared" ca="1" si="2"/>
        <v>48.092914627898239</v>
      </c>
      <c r="D30" s="15"/>
      <c r="E30" s="14"/>
      <c r="F30" s="15"/>
      <c r="G30" s="14"/>
      <c r="H30" s="15"/>
      <c r="I30" s="14"/>
      <c r="J30" s="15"/>
      <c r="K30" s="20"/>
      <c r="L30" s="13"/>
      <c r="M30" s="20"/>
      <c r="N30" s="13"/>
      <c r="O30" s="13"/>
      <c r="P30" s="15"/>
      <c r="S30" s="75">
        <f t="shared" si="0"/>
        <v>30</v>
      </c>
      <c r="T30" s="189" t="str">
        <f>Data!A30</f>
        <v>A6H022Q01</v>
      </c>
    </row>
    <row r="31" spans="1:20">
      <c r="A31" s="57">
        <v>90</v>
      </c>
      <c r="B31" s="47">
        <f t="shared" ca="1" si="1"/>
        <v>3.18877937950757E-15</v>
      </c>
      <c r="C31" s="49">
        <f t="shared" ca="1" si="2"/>
        <v>52.055395682565035</v>
      </c>
      <c r="D31" s="15"/>
      <c r="E31" s="14"/>
      <c r="F31" s="15"/>
      <c r="G31" s="14"/>
      <c r="H31" s="15"/>
      <c r="I31" s="14"/>
      <c r="J31" s="15"/>
      <c r="K31" s="20"/>
      <c r="L31" s="13"/>
      <c r="M31" s="20"/>
      <c r="N31" s="13"/>
      <c r="O31" s="13"/>
      <c r="P31" s="15"/>
      <c r="S31" s="75">
        <f t="shared" si="0"/>
        <v>31</v>
      </c>
      <c r="T31" s="189" t="str">
        <f>Data!A31</f>
        <v>C5H023Q01</v>
      </c>
    </row>
    <row r="32" spans="1:20">
      <c r="A32" s="57">
        <v>112.5</v>
      </c>
      <c r="B32" s="47">
        <f t="shared" ca="1" si="1"/>
        <v>-19.920737492926861</v>
      </c>
      <c r="C32" s="49">
        <f t="shared" ca="1" si="2"/>
        <v>48.092914627898239</v>
      </c>
      <c r="D32" s="15"/>
      <c r="E32" s="14"/>
      <c r="F32" s="15"/>
      <c r="G32" s="14"/>
      <c r="H32" s="15"/>
      <c r="I32" s="14"/>
      <c r="J32" s="15"/>
      <c r="K32" s="20"/>
      <c r="L32" s="13"/>
      <c r="M32" s="20"/>
      <c r="N32" s="13"/>
      <c r="O32" s="13"/>
      <c r="P32" s="15"/>
      <c r="S32" s="75">
        <f t="shared" si="0"/>
        <v>32</v>
      </c>
      <c r="T32" s="189" t="str">
        <f>Data!A32</f>
        <v>A6H021Q01</v>
      </c>
    </row>
    <row r="33" spans="1:20">
      <c r="A33" s="57">
        <v>135</v>
      </c>
      <c r="B33" s="47">
        <f t="shared" ca="1" si="1"/>
        <v>-36.808723284490661</v>
      </c>
      <c r="C33" s="49">
        <f t="shared" ca="1" si="2"/>
        <v>36.808723284490668</v>
      </c>
      <c r="D33" s="15"/>
      <c r="E33" s="14"/>
      <c r="F33" s="15"/>
      <c r="G33" s="14"/>
      <c r="H33" s="15"/>
      <c r="I33" s="14"/>
      <c r="J33" s="15"/>
      <c r="K33" s="20"/>
      <c r="L33" s="13"/>
      <c r="M33" s="20"/>
      <c r="N33" s="13"/>
      <c r="O33" s="13"/>
      <c r="P33" s="15"/>
      <c r="S33" s="75">
        <f t="shared" si="0"/>
        <v>33</v>
      </c>
      <c r="T33" s="189" t="str">
        <f>Data!A33</f>
        <v>G2H007Q01</v>
      </c>
    </row>
    <row r="34" spans="1:20">
      <c r="A34" s="57">
        <v>157.5</v>
      </c>
      <c r="B34" s="47">
        <f t="shared" ca="1" si="1"/>
        <v>-48.092914627898239</v>
      </c>
      <c r="C34" s="49">
        <f t="shared" ca="1" si="2"/>
        <v>19.920737492926868</v>
      </c>
      <c r="D34" s="15"/>
      <c r="E34" s="14"/>
      <c r="F34" s="15"/>
      <c r="G34" s="14"/>
      <c r="H34" s="15"/>
      <c r="I34" s="14"/>
      <c r="J34" s="15"/>
      <c r="K34" s="20"/>
      <c r="L34" s="13"/>
      <c r="M34" s="20"/>
      <c r="N34" s="13"/>
      <c r="O34" s="13"/>
      <c r="P34" s="15"/>
      <c r="S34" s="75">
        <f t="shared" si="0"/>
        <v>34</v>
      </c>
      <c r="T34" s="189">
        <f>Data!A34</f>
        <v>184624</v>
      </c>
    </row>
    <row r="35" spans="1:20">
      <c r="A35" s="57">
        <v>180</v>
      </c>
      <c r="B35" s="47">
        <f t="shared" ca="1" si="1"/>
        <v>-52.055395682565035</v>
      </c>
      <c r="C35" s="49">
        <f t="shared" ca="1" si="2"/>
        <v>6.37755875901514E-15</v>
      </c>
      <c r="D35" s="15"/>
      <c r="E35" s="14"/>
      <c r="F35" s="15"/>
      <c r="G35" s="14"/>
      <c r="H35" s="15"/>
      <c r="I35" s="14"/>
      <c r="J35" s="15"/>
      <c r="K35" s="20"/>
      <c r="L35" s="13"/>
      <c r="M35" s="20"/>
      <c r="N35" s="13"/>
      <c r="O35" s="13"/>
      <c r="P35" s="15"/>
      <c r="S35" s="75">
        <f t="shared" si="0"/>
        <v>35</v>
      </c>
      <c r="T35" s="189">
        <f>Data!A35</f>
        <v>187108</v>
      </c>
    </row>
    <row r="36" spans="1:20">
      <c r="A36" s="57">
        <v>202.5</v>
      </c>
      <c r="B36" s="47">
        <f t="shared" ca="1" si="1"/>
        <v>-48.092914627898246</v>
      </c>
      <c r="C36" s="49">
        <f t="shared" ca="1" si="2"/>
        <v>-19.920737492926857</v>
      </c>
      <c r="D36" s="15"/>
      <c r="E36" s="14"/>
      <c r="F36" s="15"/>
      <c r="G36" s="14"/>
      <c r="H36" s="15"/>
      <c r="I36" s="14"/>
      <c r="J36" s="15"/>
      <c r="K36" s="20"/>
      <c r="L36" s="13"/>
      <c r="M36" s="20"/>
      <c r="N36" s="13"/>
      <c r="O36" s="13"/>
      <c r="P36" s="15"/>
      <c r="S36" s="75">
        <f t="shared" si="0"/>
        <v>36</v>
      </c>
      <c r="T36" s="189">
        <f>Data!A36</f>
        <v>173866</v>
      </c>
    </row>
    <row r="37" spans="1:20">
      <c r="A37" s="57">
        <v>225</v>
      </c>
      <c r="B37" s="47">
        <f t="shared" ca="1" si="1"/>
        <v>-36.808723284490675</v>
      </c>
      <c r="C37" s="49">
        <f t="shared" ca="1" si="2"/>
        <v>-36.808723284490661</v>
      </c>
      <c r="D37" s="15"/>
      <c r="E37" s="14"/>
      <c r="F37" s="15"/>
      <c r="G37" s="14"/>
      <c r="H37" s="15"/>
      <c r="I37" s="14"/>
      <c r="J37" s="15"/>
      <c r="K37" s="20"/>
      <c r="L37" s="13"/>
      <c r="M37" s="20"/>
      <c r="N37" s="13"/>
      <c r="O37" s="13"/>
      <c r="P37" s="15"/>
      <c r="S37" s="75">
        <f t="shared" si="0"/>
        <v>37</v>
      </c>
      <c r="T37" s="189" t="str">
        <f>Data!A37</f>
        <v>N1H011Q01</v>
      </c>
    </row>
    <row r="38" spans="1:20">
      <c r="A38" s="57">
        <v>247.5</v>
      </c>
      <c r="B38" s="47">
        <f t="shared" ca="1" si="1"/>
        <v>-19.92073749292685</v>
      </c>
      <c r="C38" s="49">
        <f t="shared" ca="1" si="2"/>
        <v>-48.092914627898246</v>
      </c>
      <c r="D38" s="15"/>
      <c r="E38" s="14"/>
      <c r="F38" s="15"/>
      <c r="G38" s="14"/>
      <c r="H38" s="15"/>
      <c r="I38" s="14"/>
      <c r="J38" s="15"/>
      <c r="K38" s="20"/>
      <c r="L38" s="13"/>
      <c r="M38" s="20"/>
      <c r="N38" s="13"/>
      <c r="O38" s="13"/>
      <c r="P38" s="15"/>
      <c r="S38" s="75">
        <f t="shared" si="0"/>
        <v>38</v>
      </c>
      <c r="T38" s="189">
        <f>Data!A38</f>
        <v>172896</v>
      </c>
    </row>
    <row r="39" spans="1:20">
      <c r="A39" s="57">
        <v>270</v>
      </c>
      <c r="B39" s="47">
        <f t="shared" ca="1" si="1"/>
        <v>-9.5663381385227099E-15</v>
      </c>
      <c r="C39" s="49">
        <f t="shared" ca="1" si="2"/>
        <v>-52.055395682565035</v>
      </c>
      <c r="D39" s="15"/>
      <c r="E39" s="14"/>
      <c r="F39" s="15"/>
      <c r="G39" s="14"/>
      <c r="H39" s="15"/>
      <c r="I39" s="14"/>
      <c r="J39" s="15"/>
      <c r="K39" s="20"/>
      <c r="L39" s="13"/>
      <c r="M39" s="20"/>
      <c r="N39" s="13"/>
      <c r="O39" s="13"/>
      <c r="P39" s="15"/>
      <c r="S39" s="75">
        <f t="shared" si="0"/>
        <v>39</v>
      </c>
      <c r="T39" s="189">
        <f>Data!A39</f>
        <v>170195</v>
      </c>
    </row>
    <row r="40" spans="1:20">
      <c r="A40" s="57">
        <v>292.5</v>
      </c>
      <c r="B40" s="47">
        <f t="shared" ca="1" si="1"/>
        <v>19.920737492926875</v>
      </c>
      <c r="C40" s="49">
        <f t="shared" ca="1" si="2"/>
        <v>-48.092914627898232</v>
      </c>
      <c r="D40" s="15"/>
      <c r="E40" s="14"/>
      <c r="F40" s="15"/>
      <c r="G40" s="14"/>
      <c r="H40" s="15"/>
      <c r="I40" s="14"/>
      <c r="J40" s="15"/>
      <c r="K40" s="20"/>
      <c r="L40" s="13"/>
      <c r="M40" s="20"/>
      <c r="N40" s="13"/>
      <c r="O40" s="13"/>
      <c r="P40" s="15"/>
      <c r="S40" s="75">
        <f t="shared" si="0"/>
        <v>40</v>
      </c>
      <c r="T40" s="189" t="str">
        <f>Data!A40</f>
        <v>X2H044Q01</v>
      </c>
    </row>
    <row r="41" spans="1:20">
      <c r="A41" s="57">
        <v>315</v>
      </c>
      <c r="B41" s="47">
        <f t="shared" ca="1" si="1"/>
        <v>36.808723284490654</v>
      </c>
      <c r="C41" s="49">
        <f t="shared" ca="1" si="2"/>
        <v>-36.808723284490675</v>
      </c>
      <c r="D41" s="15"/>
      <c r="E41" s="14"/>
      <c r="F41" s="15"/>
      <c r="G41" s="14"/>
      <c r="H41" s="15"/>
      <c r="I41" s="14"/>
      <c r="J41" s="15"/>
      <c r="K41" s="20"/>
      <c r="L41" s="13"/>
      <c r="M41" s="20"/>
      <c r="N41" s="13"/>
      <c r="O41" s="13"/>
      <c r="P41" s="15"/>
      <c r="S41" s="75">
        <f t="shared" si="0"/>
        <v>41</v>
      </c>
      <c r="T41" s="189">
        <f>Data!A41</f>
        <v>161031</v>
      </c>
    </row>
    <row r="42" spans="1:20">
      <c r="A42" s="57">
        <v>337.5</v>
      </c>
      <c r="B42" s="47">
        <f t="shared" ca="1" si="1"/>
        <v>48.092914627898246</v>
      </c>
      <c r="C42" s="49">
        <f t="shared" ca="1" si="2"/>
        <v>-19.92073749292685</v>
      </c>
      <c r="D42" s="15"/>
      <c r="E42" s="14"/>
      <c r="F42" s="15"/>
      <c r="G42" s="14"/>
      <c r="H42" s="15"/>
      <c r="I42" s="14"/>
      <c r="J42" s="15"/>
      <c r="K42" s="20"/>
      <c r="L42" s="13"/>
      <c r="M42" s="20"/>
      <c r="N42" s="13"/>
      <c r="O42" s="13"/>
      <c r="P42" s="15"/>
      <c r="S42" s="75">
        <f t="shared" si="0"/>
        <v>42</v>
      </c>
      <c r="T42" s="189">
        <f>Data!A42</f>
        <v>157120</v>
      </c>
    </row>
    <row r="43" spans="1:20">
      <c r="A43" s="58">
        <v>360</v>
      </c>
      <c r="B43" s="52">
        <f t="shared" ca="1" si="1"/>
        <v>52.055395682565035</v>
      </c>
      <c r="C43" s="54">
        <f t="shared" ca="1" si="2"/>
        <v>-1.275511751803028E-14</v>
      </c>
      <c r="D43" s="15"/>
      <c r="E43" s="14"/>
      <c r="F43" s="15"/>
      <c r="G43" s="14"/>
      <c r="H43" s="15"/>
      <c r="I43" s="14"/>
      <c r="J43" s="15"/>
      <c r="K43" s="20"/>
      <c r="L43" s="13"/>
      <c r="M43" s="20"/>
      <c r="N43" s="13"/>
      <c r="O43" s="13"/>
      <c r="P43" s="15"/>
      <c r="S43" s="75">
        <f t="shared" si="0"/>
        <v>43</v>
      </c>
      <c r="T43" s="189">
        <f>Data!A43</f>
        <v>170193</v>
      </c>
    </row>
    <row r="44" spans="1:20">
      <c r="A44" s="59"/>
      <c r="B44" s="60"/>
      <c r="C44" s="61"/>
      <c r="D44" s="15"/>
      <c r="E44" s="14"/>
      <c r="F44" s="15"/>
      <c r="G44" s="14"/>
      <c r="H44" s="15"/>
      <c r="I44" s="14"/>
      <c r="J44" s="15"/>
      <c r="K44" s="14"/>
      <c r="L44" s="15"/>
      <c r="M44" s="14"/>
      <c r="N44" s="15"/>
      <c r="O44" s="15"/>
      <c r="P44" s="15"/>
      <c r="S44" s="75">
        <f t="shared" si="0"/>
        <v>44</v>
      </c>
      <c r="T44" s="189" t="str">
        <f>Data!A44</f>
        <v>G2H003Q01</v>
      </c>
    </row>
    <row r="45" spans="1:20">
      <c r="A45" s="59"/>
      <c r="B45" s="60"/>
      <c r="C45" s="62"/>
      <c r="D45" s="15"/>
      <c r="E45" s="14"/>
      <c r="F45" s="15"/>
      <c r="G45" s="14"/>
      <c r="H45" s="15"/>
      <c r="I45" s="14"/>
      <c r="J45" s="15"/>
      <c r="K45" s="14"/>
      <c r="L45" s="15"/>
      <c r="M45" s="14"/>
      <c r="N45" s="15"/>
      <c r="O45" s="15"/>
      <c r="P45" s="15"/>
      <c r="S45" s="75">
        <f t="shared" si="0"/>
        <v>45</v>
      </c>
      <c r="T45" s="189">
        <f>Data!A45</f>
        <v>170194</v>
      </c>
    </row>
    <row r="46" spans="1:20">
      <c r="A46" s="59"/>
      <c r="B46" s="60"/>
      <c r="C46" s="62"/>
      <c r="D46" s="15"/>
      <c r="E46" s="14"/>
      <c r="F46" s="15"/>
      <c r="G46" s="14"/>
      <c r="H46" s="15"/>
      <c r="I46" s="14"/>
      <c r="J46" s="15"/>
      <c r="K46" s="14"/>
      <c r="L46" s="15"/>
      <c r="M46" s="14"/>
      <c r="N46" s="15"/>
      <c r="O46" s="15"/>
      <c r="P46" s="15"/>
      <c r="S46" s="75">
        <f t="shared" si="0"/>
        <v>46</v>
      </c>
      <c r="T46" s="189">
        <f>Data!A46</f>
        <v>187107</v>
      </c>
    </row>
    <row r="47" spans="1:20">
      <c r="A47" s="59"/>
      <c r="B47" s="60"/>
      <c r="C47" s="62"/>
      <c r="D47" s="15"/>
      <c r="E47" s="14"/>
      <c r="F47" s="15"/>
      <c r="G47" s="14"/>
      <c r="H47" s="15"/>
      <c r="I47" s="14"/>
      <c r="J47" s="15"/>
      <c r="K47" s="14"/>
      <c r="L47" s="15"/>
      <c r="M47" s="14"/>
      <c r="N47" s="15"/>
      <c r="O47" s="15"/>
      <c r="P47" s="15"/>
      <c r="S47" s="75">
        <f t="shared" si="0"/>
        <v>47</v>
      </c>
      <c r="T47" s="189" t="str">
        <f>Data!A47</f>
        <v>V7R001Q01</v>
      </c>
    </row>
    <row r="48" spans="1:20">
      <c r="A48" s="65" t="s">
        <v>49</v>
      </c>
      <c r="B48" s="66" t="s">
        <v>50</v>
      </c>
      <c r="C48" s="65"/>
      <c r="S48" s="75">
        <f t="shared" si="0"/>
        <v>48</v>
      </c>
      <c r="T48" s="189">
        <f>Data!A48</f>
        <v>170197</v>
      </c>
    </row>
    <row r="49" spans="1:20">
      <c r="A49" s="65" t="s">
        <v>107</v>
      </c>
      <c r="B49" s="65">
        <v>5</v>
      </c>
      <c r="C49" s="67"/>
      <c r="S49" s="75">
        <f t="shared" si="0"/>
        <v>49</v>
      </c>
      <c r="T49" s="189">
        <f>Data!A49</f>
        <v>187108</v>
      </c>
    </row>
    <row r="50" spans="1:20">
      <c r="A50" s="66">
        <f>$B$49</f>
        <v>5</v>
      </c>
      <c r="B50" s="68">
        <f ca="1">-(N7+L7)</f>
        <v>-26.568682871678917</v>
      </c>
      <c r="C50" s="67">
        <f ca="1">+H7</f>
        <v>2.31311706629055</v>
      </c>
      <c r="D50" s="1"/>
      <c r="F50" s="1"/>
      <c r="S50" s="75">
        <f t="shared" si="0"/>
        <v>50</v>
      </c>
      <c r="T50" s="189">
        <f>Data!A50</f>
        <v>153441</v>
      </c>
    </row>
    <row r="51" spans="1:20">
      <c r="A51" s="66">
        <f>$B$49</f>
        <v>5</v>
      </c>
      <c r="B51" s="69">
        <v>0</v>
      </c>
      <c r="C51" s="70">
        <v>0</v>
      </c>
      <c r="D51" s="1"/>
      <c r="F51" s="1"/>
      <c r="S51" s="75">
        <f t="shared" si="0"/>
        <v>51</v>
      </c>
      <c r="T51" s="189">
        <f>Data!A51</f>
        <v>184642</v>
      </c>
    </row>
    <row r="52" spans="1:20">
      <c r="A52" s="66">
        <v>0</v>
      </c>
      <c r="B52" s="68">
        <f ca="1">-B7</f>
        <v>-1.8463073852295411</v>
      </c>
      <c r="C52" s="67">
        <f ca="1">+J7</f>
        <v>8.5723534607130443</v>
      </c>
      <c r="D52" s="1"/>
      <c r="F52" s="1"/>
      <c r="S52" s="75">
        <f t="shared" si="0"/>
        <v>52</v>
      </c>
      <c r="T52" s="189">
        <f>Data!A52</f>
        <v>187107</v>
      </c>
    </row>
    <row r="53" spans="1:20">
      <c r="A53" s="66">
        <v>0</v>
      </c>
      <c r="B53" s="69">
        <v>0</v>
      </c>
      <c r="C53" s="70">
        <v>0</v>
      </c>
      <c r="S53" s="75">
        <f t="shared" si="0"/>
        <v>53</v>
      </c>
      <c r="T53" s="189">
        <f>Data!A53</f>
        <v>101312</v>
      </c>
    </row>
    <row r="54" spans="1:20">
      <c r="A54" s="66">
        <f>-$B$49</f>
        <v>-5</v>
      </c>
      <c r="B54" s="68">
        <f ca="1">-D7</f>
        <v>-1.9736842105263157</v>
      </c>
      <c r="C54" s="67">
        <f ca="1">+F7</f>
        <v>21.028523839267123</v>
      </c>
      <c r="S54" s="75">
        <f t="shared" si="0"/>
        <v>54</v>
      </c>
      <c r="T54" s="189">
        <f>Data!A54</f>
        <v>177065</v>
      </c>
    </row>
    <row r="55" spans="1:20">
      <c r="A55" s="66">
        <f>-$B$49</f>
        <v>-5</v>
      </c>
      <c r="B55" s="66">
        <v>0</v>
      </c>
      <c r="C55" s="67">
        <v>0</v>
      </c>
      <c r="S55" s="75">
        <f t="shared" si="0"/>
        <v>55</v>
      </c>
      <c r="T55" s="189" t="str">
        <f>Data!A55</f>
        <v>G1H050R01</v>
      </c>
    </row>
    <row r="56" spans="1:20">
      <c r="A56" s="65"/>
      <c r="B56" s="66"/>
      <c r="C56" s="71"/>
      <c r="S56" s="75">
        <f t="shared" si="0"/>
        <v>56</v>
      </c>
      <c r="T56" s="189" t="str">
        <f>Data!A56</f>
        <v>V1H005Q01</v>
      </c>
    </row>
    <row r="57" spans="1:20">
      <c r="A57" s="66">
        <f>$B$49</f>
        <v>5</v>
      </c>
      <c r="B57" s="66">
        <f ca="1">-(N7+L7)</f>
        <v>-26.568682871678917</v>
      </c>
      <c r="C57" s="67"/>
      <c r="S57" s="75">
        <f t="shared" si="0"/>
        <v>57</v>
      </c>
      <c r="T57" s="189" t="str">
        <f>Data!A57</f>
        <v>H2H016Q01</v>
      </c>
    </row>
    <row r="58" spans="1:20">
      <c r="A58" s="65">
        <v>0</v>
      </c>
      <c r="B58" s="66">
        <f ca="1">-B7</f>
        <v>-1.8463073852295411</v>
      </c>
      <c r="C58" s="67"/>
      <c r="S58" s="75">
        <f t="shared" si="0"/>
        <v>58</v>
      </c>
      <c r="T58" s="189">
        <f>Data!A58</f>
        <v>101294</v>
      </c>
    </row>
    <row r="59" spans="1:20">
      <c r="A59" s="66">
        <f>-$B$49</f>
        <v>-5</v>
      </c>
      <c r="B59" s="66">
        <f ca="1">-D7</f>
        <v>-1.9736842105263157</v>
      </c>
      <c r="C59" s="67"/>
      <c r="S59" s="75">
        <f t="shared" si="0"/>
        <v>59</v>
      </c>
      <c r="T59" s="189">
        <f>Data!A59</f>
        <v>0</v>
      </c>
    </row>
    <row r="60" spans="1:20">
      <c r="A60" s="71"/>
      <c r="B60" s="71"/>
      <c r="C60" s="71"/>
      <c r="S60" s="75">
        <f t="shared" si="0"/>
        <v>60</v>
      </c>
      <c r="T60" s="189" t="str">
        <f>Data!A60</f>
        <v>Hem 10</v>
      </c>
    </row>
    <row r="61" spans="1:20">
      <c r="A61" s="66">
        <f>-$B$49</f>
        <v>-5</v>
      </c>
      <c r="B61" s="66">
        <f ca="1">+F7</f>
        <v>21.028523839267123</v>
      </c>
      <c r="C61" s="71"/>
      <c r="S61" s="75">
        <f t="shared" si="0"/>
        <v>61</v>
      </c>
      <c r="T61" s="189" t="str">
        <f>Data!A61</f>
        <v>Hem12-6</v>
      </c>
    </row>
    <row r="62" spans="1:20">
      <c r="A62" s="65">
        <v>0</v>
      </c>
      <c r="B62" s="66">
        <f ca="1">+J7</f>
        <v>8.5723534607130443</v>
      </c>
      <c r="C62" s="71"/>
      <c r="S62" s="75">
        <f t="shared" si="0"/>
        <v>62</v>
      </c>
      <c r="T62" s="189" t="str">
        <f>Data!A62</f>
        <v>Hem 15-1</v>
      </c>
    </row>
    <row r="63" spans="1:20">
      <c r="A63" s="66">
        <f>$B$49</f>
        <v>5</v>
      </c>
      <c r="B63" s="66">
        <f ca="1">+H7</f>
        <v>2.31311706629055</v>
      </c>
      <c r="C63" s="67"/>
      <c r="S63" s="75">
        <f t="shared" si="0"/>
        <v>63</v>
      </c>
      <c r="T63" s="189" t="str">
        <f>Data!A63</f>
        <v>Hem 17-3</v>
      </c>
    </row>
    <row r="64" spans="1:20">
      <c r="S64" s="75">
        <f t="shared" si="0"/>
        <v>64</v>
      </c>
      <c r="T64" s="189">
        <f>Data!A64</f>
        <v>0</v>
      </c>
    </row>
    <row r="65" spans="1:20">
      <c r="A65" s="2" t="s">
        <v>192</v>
      </c>
      <c r="B65" s="4" t="s">
        <v>193</v>
      </c>
      <c r="S65" s="75">
        <f t="shared" si="0"/>
        <v>65</v>
      </c>
      <c r="T65" s="189" t="str">
        <f>Data!A65</f>
        <v>Pyramid Lake</v>
      </c>
    </row>
    <row r="66" spans="1:20">
      <c r="B66" s="2" t="s">
        <v>53</v>
      </c>
      <c r="C66" s="79" t="s">
        <v>51</v>
      </c>
      <c r="D66" s="75" t="s">
        <v>54</v>
      </c>
      <c r="S66" s="75">
        <f t="shared" si="0"/>
        <v>66</v>
      </c>
      <c r="T66" s="189" t="str">
        <f>Data!A66</f>
        <v>Banagher</v>
      </c>
    </row>
    <row r="67" spans="1:20">
      <c r="A67" s="2" t="s">
        <v>15</v>
      </c>
      <c r="B67" s="4">
        <f ca="1">B4</f>
        <v>37</v>
      </c>
      <c r="C67" s="1">
        <f ca="1">D4</f>
        <v>24</v>
      </c>
      <c r="D67">
        <f ca="1">L4+N4</f>
        <v>611</v>
      </c>
      <c r="S67" s="75">
        <f t="shared" si="0"/>
        <v>67</v>
      </c>
      <c r="T67" s="189" t="str">
        <f>Data!A67</f>
        <v>Chrissiesmeer</v>
      </c>
    </row>
    <row r="68" spans="1:20">
      <c r="B68" s="2" t="s">
        <v>102</v>
      </c>
      <c r="C68" s="79" t="s">
        <v>57</v>
      </c>
      <c r="D68" s="75" t="s">
        <v>55</v>
      </c>
      <c r="S68" s="75">
        <f t="shared" ref="S68:S101" si="3">S67+1</f>
        <v>68</v>
      </c>
      <c r="T68" s="189" t="str">
        <f>Data!A68</f>
        <v>Schurveberg Hydro bottled water</v>
      </c>
    </row>
    <row r="69" spans="1:20">
      <c r="A69" s="2" t="s">
        <v>14</v>
      </c>
      <c r="B69" s="4">
        <f ca="1">J4</f>
        <v>429</v>
      </c>
      <c r="C69" s="1">
        <f ca="1">H4</f>
        <v>82</v>
      </c>
      <c r="D69">
        <f ca="1">F4</f>
        <v>1010</v>
      </c>
      <c r="S69" s="75">
        <f t="shared" si="3"/>
        <v>69</v>
      </c>
      <c r="T69" s="189" t="str">
        <f>Data!A70</f>
        <v>GK 1</v>
      </c>
    </row>
    <row r="70" spans="1:20">
      <c r="S70" s="75">
        <f t="shared" si="3"/>
        <v>70</v>
      </c>
      <c r="T70" s="189" t="str">
        <f>Data!A71</f>
        <v>GK2</v>
      </c>
    </row>
    <row r="71" spans="1:20">
      <c r="S71" s="75">
        <f t="shared" si="3"/>
        <v>71</v>
      </c>
      <c r="T71" s="189" t="str">
        <f>Data!A72</f>
        <v>GK2a</v>
      </c>
    </row>
    <row r="72" spans="1:20">
      <c r="S72" s="75">
        <f t="shared" si="3"/>
        <v>72</v>
      </c>
      <c r="T72" s="189" t="str">
        <f>Data!A73</f>
        <v>GK3</v>
      </c>
    </row>
    <row r="73" spans="1:20">
      <c r="S73" s="75">
        <f t="shared" si="3"/>
        <v>73</v>
      </c>
      <c r="T73" s="189" t="str">
        <f>Data!A74</f>
        <v>LWEG</v>
      </c>
    </row>
    <row r="74" spans="1:20">
      <c r="S74" s="75">
        <f t="shared" si="3"/>
        <v>74</v>
      </c>
      <c r="T74" s="189" t="str">
        <f>Data!A75</f>
        <v>Sal3</v>
      </c>
    </row>
    <row r="75" spans="1:20">
      <c r="S75" s="75">
        <f t="shared" si="3"/>
        <v>75</v>
      </c>
      <c r="T75" s="189" t="str">
        <f>Data!A77</f>
        <v>Sal1</v>
      </c>
    </row>
    <row r="76" spans="1:20">
      <c r="A76" s="4"/>
      <c r="C76"/>
      <c r="S76" s="75">
        <f t="shared" si="3"/>
        <v>76</v>
      </c>
      <c r="T76" s="189" t="str">
        <f>Data!A78</f>
        <v>Phrag3</v>
      </c>
    </row>
    <row r="77" spans="1:20">
      <c r="S77" s="75">
        <f t="shared" si="3"/>
        <v>77</v>
      </c>
      <c r="T77" s="189" t="str">
        <f>Data!A79</f>
        <v>Phrag2</v>
      </c>
    </row>
    <row r="78" spans="1:20">
      <c r="S78" s="75">
        <f t="shared" si="3"/>
        <v>78</v>
      </c>
      <c r="T78" s="189" t="e">
        <f>Data!#REF!</f>
        <v>#REF!</v>
      </c>
    </row>
    <row r="79" spans="1:20">
      <c r="A79" s="2" t="s">
        <v>65</v>
      </c>
      <c r="B79" s="3" t="s">
        <v>50</v>
      </c>
      <c r="S79" s="75">
        <f t="shared" si="3"/>
        <v>79</v>
      </c>
      <c r="T79" s="189" t="e">
        <f>Data!#REF!</f>
        <v>#REF!</v>
      </c>
    </row>
    <row r="80" spans="1:20">
      <c r="S80" s="75">
        <f t="shared" si="3"/>
        <v>80</v>
      </c>
      <c r="T80" s="189" t="e">
        <f>Data!#REF!</f>
        <v>#REF!</v>
      </c>
    </row>
    <row r="81" spans="19:20">
      <c r="S81" s="75">
        <f t="shared" si="3"/>
        <v>81</v>
      </c>
      <c r="T81" s="189" t="e">
        <f>Data!#REF!</f>
        <v>#REF!</v>
      </c>
    </row>
    <row r="82" spans="19:20">
      <c r="S82" s="75">
        <f t="shared" si="3"/>
        <v>82</v>
      </c>
      <c r="T82" s="189" t="e">
        <f>Data!#REF!</f>
        <v>#REF!</v>
      </c>
    </row>
    <row r="83" spans="19:20">
      <c r="S83" s="75">
        <f t="shared" si="3"/>
        <v>83</v>
      </c>
      <c r="T83" s="189" t="e">
        <f>Data!#REF!</f>
        <v>#REF!</v>
      </c>
    </row>
    <row r="84" spans="19:20">
      <c r="S84" s="75">
        <f t="shared" si="3"/>
        <v>84</v>
      </c>
      <c r="T84" s="189" t="e">
        <f>Data!#REF!</f>
        <v>#REF!</v>
      </c>
    </row>
    <row r="85" spans="19:20">
      <c r="S85" s="75">
        <f t="shared" si="3"/>
        <v>85</v>
      </c>
      <c r="T85" s="189" t="e">
        <f>Data!#REF!</f>
        <v>#REF!</v>
      </c>
    </row>
    <row r="86" spans="19:20">
      <c r="S86" s="75">
        <f t="shared" si="3"/>
        <v>86</v>
      </c>
      <c r="T86" s="189">
        <f>Data!A80</f>
        <v>0</v>
      </c>
    </row>
    <row r="87" spans="19:20">
      <c r="S87" s="75">
        <f t="shared" si="3"/>
        <v>87</v>
      </c>
      <c r="T87" s="189">
        <f>Data!A81</f>
        <v>0</v>
      </c>
    </row>
    <row r="88" spans="19:20">
      <c r="S88" s="75">
        <f t="shared" si="3"/>
        <v>88</v>
      </c>
      <c r="T88" s="189">
        <f>Data!A82</f>
        <v>0</v>
      </c>
    </row>
    <row r="89" spans="19:20">
      <c r="S89" s="75">
        <f t="shared" si="3"/>
        <v>89</v>
      </c>
      <c r="T89" s="189">
        <f>Data!A83</f>
        <v>0</v>
      </c>
    </row>
    <row r="90" spans="19:20">
      <c r="S90" s="75">
        <f t="shared" si="3"/>
        <v>90</v>
      </c>
      <c r="T90" s="189">
        <f>Data!A84</f>
        <v>0</v>
      </c>
    </row>
    <row r="91" spans="19:20">
      <c r="S91" s="75">
        <f t="shared" si="3"/>
        <v>91</v>
      </c>
      <c r="T91" s="189">
        <f>Data!A85</f>
        <v>0</v>
      </c>
    </row>
    <row r="92" spans="19:20">
      <c r="S92" s="75">
        <f t="shared" si="3"/>
        <v>92</v>
      </c>
      <c r="T92" s="189">
        <f>Data!A86</f>
        <v>0</v>
      </c>
    </row>
    <row r="93" spans="19:20">
      <c r="S93" s="75">
        <f t="shared" si="3"/>
        <v>93</v>
      </c>
      <c r="T93" s="189">
        <f>Data!A87</f>
        <v>0</v>
      </c>
    </row>
    <row r="94" spans="19:20">
      <c r="S94" s="75">
        <f t="shared" si="3"/>
        <v>94</v>
      </c>
      <c r="T94" s="189">
        <f>Data!A88</f>
        <v>0</v>
      </c>
    </row>
    <row r="95" spans="19:20">
      <c r="S95" s="75">
        <f t="shared" si="3"/>
        <v>95</v>
      </c>
      <c r="T95" s="189">
        <f>Data!A89</f>
        <v>0</v>
      </c>
    </row>
    <row r="96" spans="19:20">
      <c r="S96" s="75">
        <f t="shared" si="3"/>
        <v>96</v>
      </c>
      <c r="T96" s="189">
        <f>Data!A90</f>
        <v>0</v>
      </c>
    </row>
    <row r="97" spans="1:20">
      <c r="S97" s="75">
        <f t="shared" si="3"/>
        <v>97</v>
      </c>
      <c r="T97" s="189">
        <f>Data!A91</f>
        <v>0</v>
      </c>
    </row>
    <row r="98" spans="1:20">
      <c r="S98" s="75">
        <f t="shared" si="3"/>
        <v>98</v>
      </c>
      <c r="T98" s="189">
        <f>Data!A92</f>
        <v>0</v>
      </c>
    </row>
    <row r="99" spans="1:20">
      <c r="S99" s="75">
        <f t="shared" si="3"/>
        <v>99</v>
      </c>
      <c r="T99" s="189">
        <f>Data!A93</f>
        <v>0</v>
      </c>
    </row>
    <row r="100" spans="1:20">
      <c r="S100" s="75">
        <f t="shared" si="3"/>
        <v>100</v>
      </c>
      <c r="T100" s="189">
        <f>Data!A94</f>
        <v>0</v>
      </c>
    </row>
    <row r="101" spans="1:20">
      <c r="A101" s="2" t="s">
        <v>15</v>
      </c>
      <c r="B101" s="2" t="s">
        <v>67</v>
      </c>
      <c r="D101" s="77" t="s">
        <v>68</v>
      </c>
      <c r="E101" s="84" t="s">
        <v>74</v>
      </c>
      <c r="F101" s="75" t="s">
        <v>66</v>
      </c>
      <c r="G101" s="79" t="s">
        <v>25</v>
      </c>
      <c r="H101" s="75" t="s">
        <v>26</v>
      </c>
      <c r="J101" s="171" t="s">
        <v>14</v>
      </c>
      <c r="L101" s="1"/>
      <c r="M101" s="77" t="s">
        <v>69</v>
      </c>
      <c r="N101" s="1"/>
      <c r="O101" s="75" t="s">
        <v>66</v>
      </c>
      <c r="P101" s="79" t="s">
        <v>25</v>
      </c>
      <c r="Q101" s="75" t="s">
        <v>26</v>
      </c>
      <c r="R101" s="75" t="s">
        <v>73</v>
      </c>
      <c r="S101" s="75">
        <f t="shared" si="3"/>
        <v>101</v>
      </c>
      <c r="T101" s="189">
        <f>Data!A95</f>
        <v>0</v>
      </c>
    </row>
    <row r="102" spans="1:20">
      <c r="A102" s="2" t="s">
        <v>53</v>
      </c>
      <c r="B102" s="72">
        <f ca="1">+B7/J11</f>
        <v>2.963448307740384E-2</v>
      </c>
      <c r="C102" s="1">
        <v>0</v>
      </c>
      <c r="D102" s="76">
        <f ca="1">+B102*2</f>
        <v>5.926896615480768E-2</v>
      </c>
      <c r="E102" s="81">
        <f ca="1">-D102</f>
        <v>-5.926896615480768E-2</v>
      </c>
      <c r="F102" s="78">
        <f ca="1">-TAN(RADIANS(60))*D102</f>
        <v>-0.10265686069220707</v>
      </c>
      <c r="G102" s="80">
        <f ca="1">-(H102-(F102))/TAN(RADIANS(60))</f>
        <v>-9.094793348435104E-2</v>
      </c>
      <c r="H102" s="73">
        <f ca="1">D103*SIN(RADIANS(60))</f>
        <v>5.4869580946083657E-2</v>
      </c>
      <c r="I102"/>
      <c r="J102" s="172" t="s">
        <v>57</v>
      </c>
      <c r="K102" s="72">
        <f ca="1">+H7/J11</f>
        <v>3.7127094386029943E-2</v>
      </c>
      <c r="L102" s="1">
        <v>0</v>
      </c>
      <c r="M102" s="76">
        <f ca="1">+K102*2</f>
        <v>7.4254188772059887E-2</v>
      </c>
      <c r="N102" s="1"/>
      <c r="O102" s="78">
        <f ca="1">-TAN(RADIANS(60))*M102</f>
        <v>-0.12861202762801816</v>
      </c>
      <c r="P102" s="80">
        <f ca="1">(Q102-(O102))/TAN(RADIANS(60))</f>
        <v>0.41177622808301129</v>
      </c>
      <c r="Q102" s="73">
        <f ca="1">M103*SIN(RADIANS(60))</f>
        <v>0.5846053207608275</v>
      </c>
    </row>
    <row r="103" spans="1:20">
      <c r="A103" s="2" t="s">
        <v>51</v>
      </c>
      <c r="B103" s="72">
        <f ca="1">+D7/J11</f>
        <v>3.167896732954336E-2</v>
      </c>
      <c r="C103" s="1">
        <v>0</v>
      </c>
      <c r="D103" s="76">
        <f ca="1">+B103*2</f>
        <v>6.335793465908672E-2</v>
      </c>
      <c r="E103" s="81">
        <f ca="1">-D103</f>
        <v>-6.335793465908672E-2</v>
      </c>
      <c r="I103" s="76">
        <f ca="1">-1+(D103*COS(RADIANS(60)))</f>
        <v>-0.96832103267045666</v>
      </c>
      <c r="J103" s="172" t="s">
        <v>55</v>
      </c>
      <c r="K103" s="72">
        <f ca="1">+F7/J11</f>
        <v>0.33752203931095126</v>
      </c>
      <c r="L103" s="1">
        <v>0</v>
      </c>
      <c r="M103" s="76">
        <f ca="1">+K103*2</f>
        <v>0.67504407862190252</v>
      </c>
      <c r="N103" s="1"/>
      <c r="P103" s="1"/>
      <c r="Q103" s="73">
        <f ca="1">M103*SIN(RADIANS(60))</f>
        <v>0.5846053207608275</v>
      </c>
      <c r="R103" s="76">
        <f ca="1">1-(M103*COS(RADIANS(60)))</f>
        <v>0.66247796068904874</v>
      </c>
    </row>
    <row r="104" spans="1:20">
      <c r="A104" s="2" t="s">
        <v>54</v>
      </c>
      <c r="B104" s="72">
        <f ca="1">+(N7+L7)/J11</f>
        <v>0.42644534125166345</v>
      </c>
      <c r="C104" s="80">
        <f ca="1">-(1-D104)*COS(RADIANS(60))</f>
        <v>-7.3554658748336568E-2</v>
      </c>
      <c r="D104" s="76">
        <f ca="1">+B104*2</f>
        <v>0.85289068250332689</v>
      </c>
      <c r="E104" s="81">
        <f ca="1">-D104</f>
        <v>-0.85289068250332689</v>
      </c>
      <c r="I104" s="76">
        <f ca="1">(1-D104)*SIN(RADIANS(60))</f>
        <v>0.12740040608550951</v>
      </c>
      <c r="J104" s="172" t="s">
        <v>58</v>
      </c>
      <c r="K104" s="72">
        <f ca="1">+J7/J11</f>
        <v>0.13759207464440809</v>
      </c>
      <c r="L104" s="80">
        <f ca="1">(1-M104)*COS(RADIANS(60))</f>
        <v>0.36240792535559196</v>
      </c>
      <c r="M104" s="76">
        <f ca="1">+K104*2</f>
        <v>0.27518414928881618</v>
      </c>
      <c r="N104" s="1"/>
      <c r="O104" s="73"/>
      <c r="Q104" s="1"/>
      <c r="R104" s="76">
        <f ca="1">(1-M104)*SIN(RADIANS(60))</f>
        <v>0.62770893978151432</v>
      </c>
    </row>
    <row r="105" spans="1:20">
      <c r="B105" s="74">
        <f ca="1">SUM(B102:B104)</f>
        <v>0.48775879165861064</v>
      </c>
      <c r="D105" s="76">
        <f ca="1">+B105*2</f>
        <v>0.97551758331722127</v>
      </c>
      <c r="I105"/>
      <c r="J105" s="172"/>
      <c r="K105" s="74">
        <f ca="1">SUM(K102:K104)</f>
        <v>0.51224120834138931</v>
      </c>
      <c r="L105" s="1"/>
      <c r="M105" s="76">
        <f ca="1">+K105*2</f>
        <v>1.0244824166827786</v>
      </c>
      <c r="N105" s="1"/>
      <c r="P105" s="1"/>
    </row>
    <row r="106" spans="1:20">
      <c r="I106"/>
      <c r="J106" s="171"/>
    </row>
    <row r="107" spans="1:20">
      <c r="A107" s="2" t="s">
        <v>56</v>
      </c>
      <c r="B107" s="72">
        <f ca="1">+B102+B103</f>
        <v>6.1313450406947204E-2</v>
      </c>
      <c r="D107" s="76"/>
      <c r="E107" s="81"/>
      <c r="F107" s="78"/>
      <c r="G107" s="80"/>
      <c r="H107" s="73"/>
      <c r="I107"/>
      <c r="J107" s="172" t="s">
        <v>52</v>
      </c>
      <c r="K107" s="81">
        <f ca="1">+K102+K103</f>
        <v>0.37464913369698122</v>
      </c>
    </row>
    <row r="108" spans="1:20">
      <c r="B108" s="72"/>
      <c r="D108" s="76"/>
      <c r="E108" s="81"/>
      <c r="I108" s="76"/>
    </row>
    <row r="109" spans="1:20">
      <c r="B109" s="72"/>
      <c r="C109" s="80"/>
      <c r="D109" s="76"/>
      <c r="E109" s="81"/>
      <c r="I109" s="76"/>
    </row>
    <row r="110" spans="1:20">
      <c r="B110" s="74"/>
      <c r="D110" s="76"/>
      <c r="I110"/>
    </row>
    <row r="111" spans="1:20" ht="13.5" thickBot="1">
      <c r="B111" s="72"/>
      <c r="D111" t="s">
        <v>76</v>
      </c>
      <c r="E111"/>
      <c r="F111" s="1"/>
      <c r="G111"/>
      <c r="J111" t="s">
        <v>75</v>
      </c>
    </row>
    <row r="112" spans="1:20" ht="13.5" thickTop="1">
      <c r="B112" s="72"/>
      <c r="D112" s="135" t="s">
        <v>88</v>
      </c>
      <c r="E112" s="122" t="s">
        <v>71</v>
      </c>
      <c r="F112" s="168" t="s">
        <v>72</v>
      </c>
      <c r="G112" s="124">
        <f>-TAN(RADIANS(60))</f>
        <v>-1.7320508075688767</v>
      </c>
      <c r="H112" s="123" t="s">
        <v>70</v>
      </c>
      <c r="I112" s="132">
        <f ca="1">-D102*TAN(RADIANS(60))</f>
        <v>-0.10265686069220707</v>
      </c>
      <c r="J112" s="121" t="s">
        <v>87</v>
      </c>
      <c r="K112" s="85" t="s">
        <v>71</v>
      </c>
      <c r="L112" s="86" t="s">
        <v>72</v>
      </c>
      <c r="M112" s="87">
        <f>TAN(RADIANS(60))</f>
        <v>1.7320508075688767</v>
      </c>
      <c r="N112" s="88" t="s">
        <v>70</v>
      </c>
      <c r="O112" s="89">
        <f ca="1">-M102*TAN(RADIANS(60))</f>
        <v>-0.12861202762801816</v>
      </c>
    </row>
    <row r="113" spans="4:15">
      <c r="D113" s="125"/>
      <c r="E113" s="126">
        <f ca="1">(F113*$G$112)+$I$112</f>
        <v>1.6293939468766696</v>
      </c>
      <c r="F113" s="91">
        <v>-1</v>
      </c>
      <c r="G113" s="92"/>
      <c r="H113" s="4"/>
      <c r="I113" s="133"/>
      <c r="J113" s="4"/>
      <c r="K113" s="90">
        <f ca="1">(L113*$M$112)+$O$112</f>
        <v>-0.12861202762801816</v>
      </c>
      <c r="L113" s="91">
        <v>0</v>
      </c>
      <c r="M113" s="92"/>
      <c r="N113" s="4"/>
      <c r="O113" s="93"/>
    </row>
    <row r="114" spans="4:15" ht="13.5" thickBot="1">
      <c r="D114" s="127"/>
      <c r="E114" s="128">
        <f ca="1">(F114*$G$112)+$I$112</f>
        <v>-0.10265686069220707</v>
      </c>
      <c r="F114" s="129">
        <v>0</v>
      </c>
      <c r="G114" s="130"/>
      <c r="H114" s="131"/>
      <c r="I114" s="134"/>
      <c r="J114" s="97"/>
      <c r="K114" s="94">
        <f ca="1">(L114*$M$112)+$O$112</f>
        <v>1.6034387799408587</v>
      </c>
      <c r="L114" s="95">
        <v>1</v>
      </c>
      <c r="M114" s="96"/>
      <c r="N114" s="97"/>
      <c r="O114" s="98"/>
    </row>
    <row r="115" spans="4:15" ht="14.25" thickTop="1" thickBot="1">
      <c r="K115" s="79"/>
      <c r="L115" s="75"/>
    </row>
    <row r="116" spans="4:15" ht="13.5" thickTop="1">
      <c r="D116" s="149" t="s">
        <v>89</v>
      </c>
      <c r="E116" s="137" t="s">
        <v>71</v>
      </c>
      <c r="F116" s="169" t="s">
        <v>72</v>
      </c>
      <c r="G116" s="139">
        <v>0</v>
      </c>
      <c r="H116" s="138" t="s">
        <v>70</v>
      </c>
      <c r="I116" s="140">
        <f ca="1">-E103*SIN(RADIANS(60))</f>
        <v>5.4869580946083657E-2</v>
      </c>
      <c r="J116" s="136" t="s">
        <v>86</v>
      </c>
      <c r="K116" s="99" t="s">
        <v>71</v>
      </c>
      <c r="L116" s="100" t="s">
        <v>72</v>
      </c>
      <c r="M116" s="101">
        <v>0</v>
      </c>
      <c r="N116" s="102" t="s">
        <v>70</v>
      </c>
      <c r="O116" s="103">
        <f ca="1">+M103*SIN(RADIANS(60))</f>
        <v>0.5846053207608275</v>
      </c>
    </row>
    <row r="117" spans="4:15">
      <c r="D117" s="141"/>
      <c r="E117" s="126">
        <f ca="1">(F117*$G$116)+$I$116</f>
        <v>5.4869580946083657E-2</v>
      </c>
      <c r="F117" s="91">
        <v>-1</v>
      </c>
      <c r="G117" s="92"/>
      <c r="H117" s="4"/>
      <c r="I117" s="142"/>
      <c r="J117" s="4"/>
      <c r="K117" s="90">
        <f ca="1">(L117*$M$116)+$O$116</f>
        <v>0.5846053207608275</v>
      </c>
      <c r="L117" s="91">
        <v>0</v>
      </c>
      <c r="M117" s="92"/>
      <c r="N117" s="4"/>
      <c r="O117" s="104"/>
    </row>
    <row r="118" spans="4:15" ht="13.5" thickBot="1">
      <c r="D118" s="143"/>
      <c r="E118" s="144">
        <f ca="1">(F118*$G$116)+$I$116</f>
        <v>5.4869580946083657E-2</v>
      </c>
      <c r="F118" s="145">
        <v>0</v>
      </c>
      <c r="G118" s="146"/>
      <c r="H118" s="147"/>
      <c r="I118" s="148"/>
      <c r="J118" s="108"/>
      <c r="K118" s="105">
        <f ca="1">(L118*$M$116)+$O$116</f>
        <v>0.5846053207608275</v>
      </c>
      <c r="L118" s="106">
        <v>1</v>
      </c>
      <c r="M118" s="107"/>
      <c r="N118" s="108"/>
      <c r="O118" s="109"/>
    </row>
    <row r="119" spans="4:15" ht="14.25" thickTop="1" thickBot="1">
      <c r="K119" s="79"/>
      <c r="L119" s="75"/>
    </row>
    <row r="120" spans="4:15" ht="13.5" thickTop="1">
      <c r="D120" s="163" t="s">
        <v>90</v>
      </c>
      <c r="E120" s="150" t="s">
        <v>71</v>
      </c>
      <c r="F120" s="151" t="s">
        <v>72</v>
      </c>
      <c r="G120" s="152">
        <f>TAN(RADIANS(60))</f>
        <v>1.7320508075688767</v>
      </c>
      <c r="H120" s="153" t="s">
        <v>70</v>
      </c>
      <c r="I120" s="154">
        <f ca="1">2*(1-D104)*SIN(RADIANS(60))</f>
        <v>0.25480081217101902</v>
      </c>
      <c r="J120" s="170" t="s">
        <v>85</v>
      </c>
      <c r="K120" s="110" t="s">
        <v>71</v>
      </c>
      <c r="L120" s="111" t="s">
        <v>72</v>
      </c>
      <c r="M120" s="112">
        <f>-TAN(RADIANS(60))</f>
        <v>-1.7320508075688767</v>
      </c>
      <c r="N120" s="113" t="s">
        <v>70</v>
      </c>
      <c r="O120" s="114">
        <f ca="1">2*(1-M104)*COS(RADIANS(30))</f>
        <v>1.2554178795630289</v>
      </c>
    </row>
    <row r="121" spans="4:15">
      <c r="D121" s="155"/>
      <c r="E121" s="156">
        <f ca="1">(F121*$G$120)+$I$120</f>
        <v>-1.4772499953978577</v>
      </c>
      <c r="F121" s="4">
        <v>-1</v>
      </c>
      <c r="G121" s="92"/>
      <c r="H121" s="4"/>
      <c r="I121" s="157"/>
      <c r="J121" s="4"/>
      <c r="K121" s="90">
        <f ca="1">(L121*$M$120)+$O$120</f>
        <v>2.9874686871319058</v>
      </c>
      <c r="L121" s="91">
        <v>-1</v>
      </c>
      <c r="M121" s="92"/>
      <c r="N121" s="4"/>
      <c r="O121" s="115"/>
    </row>
    <row r="122" spans="4:15" ht="13.5" thickBot="1">
      <c r="D122" s="158"/>
      <c r="E122" s="159">
        <f ca="1">(F122*$G$120)+$I$120</f>
        <v>1.9868516197398958</v>
      </c>
      <c r="F122" s="160">
        <v>1</v>
      </c>
      <c r="G122" s="161"/>
      <c r="H122" s="160"/>
      <c r="I122" s="162"/>
      <c r="J122" s="119"/>
      <c r="K122" s="116">
        <f ca="1">(L122*$M$120)+$O$120</f>
        <v>-0.47663292800584789</v>
      </c>
      <c r="L122" s="117">
        <v>1</v>
      </c>
      <c r="M122" s="118"/>
      <c r="N122" s="119"/>
      <c r="O122" s="120"/>
    </row>
    <row r="123" spans="4:15" ht="13.5" thickTop="1"/>
    <row r="124" spans="4:15">
      <c r="D124" t="s">
        <v>79</v>
      </c>
      <c r="J124" t="s">
        <v>78</v>
      </c>
    </row>
    <row r="125" spans="4:15">
      <c r="E125" s="79" t="s">
        <v>26</v>
      </c>
      <c r="F125" s="75" t="s">
        <v>25</v>
      </c>
      <c r="K125" s="79" t="s">
        <v>26</v>
      </c>
      <c r="L125" s="75" t="s">
        <v>25</v>
      </c>
    </row>
    <row r="126" spans="4:15">
      <c r="D126" t="s">
        <v>80</v>
      </c>
      <c r="E126" s="83">
        <f ca="1">E117</f>
        <v>5.4869580946083657E-2</v>
      </c>
      <c r="F126" s="164">
        <f ca="1">(E126-I112)/G112</f>
        <v>-9.094793348435104E-2</v>
      </c>
      <c r="J126" t="s">
        <v>77</v>
      </c>
      <c r="K126" s="83">
        <f ca="1">K117</f>
        <v>0.5846053207608275</v>
      </c>
      <c r="L126" s="164">
        <f ca="1">(K126-O112)/M112</f>
        <v>0.41177622808301129</v>
      </c>
    </row>
    <row r="127" spans="4:15">
      <c r="D127" t="s">
        <v>81</v>
      </c>
      <c r="E127" s="83">
        <f ca="1">(F127*G112)+I112</f>
        <v>7.6071975739405981E-2</v>
      </c>
      <c r="F127" s="164">
        <f ca="1">-(I120-I112)/(2*TAN(RADIANS(60)))</f>
        <v>-0.10318914182574042</v>
      </c>
      <c r="J127" t="s">
        <v>93</v>
      </c>
      <c r="K127" s="83">
        <f ca="1">(L127*M112)+O112</f>
        <v>0.56340292596750541</v>
      </c>
      <c r="L127" s="164">
        <f ca="1">(O120-O112)/(2*TAN(RADIANS(60)))</f>
        <v>0.39953501974162203</v>
      </c>
    </row>
    <row r="128" spans="4:15">
      <c r="D128" t="s">
        <v>82</v>
      </c>
      <c r="E128" s="83">
        <f ca="1">E117</f>
        <v>5.4869580946083657E-2</v>
      </c>
      <c r="F128" s="164">
        <f ca="1">(E128-I120)/G120</f>
        <v>-0.11543035016712978</v>
      </c>
      <c r="J128" t="s">
        <v>94</v>
      </c>
      <c r="K128" s="83">
        <f ca="1">K117</f>
        <v>0.5846053207608275</v>
      </c>
      <c r="L128" s="164">
        <f ca="1">(K128-O120)/M120</f>
        <v>0.38729381140023272</v>
      </c>
    </row>
    <row r="129" spans="4:12">
      <c r="D129" s="165" t="s">
        <v>84</v>
      </c>
      <c r="E129" s="166">
        <f ca="1">SUM(E126:E128)/3</f>
        <v>6.1937045877191094E-2</v>
      </c>
      <c r="F129" s="167">
        <f ca="1">SUM(F126:F128)/3</f>
        <v>-0.1031891418257404</v>
      </c>
      <c r="J129" s="165" t="s">
        <v>83</v>
      </c>
      <c r="K129" s="166">
        <f ca="1">SUM(K126:K128)/3</f>
        <v>0.57753785582972006</v>
      </c>
      <c r="L129" s="167">
        <f ca="1">SUM(L126:L128)/3</f>
        <v>0.39953501974162203</v>
      </c>
    </row>
    <row r="131" spans="4:12">
      <c r="F131" s="165"/>
      <c r="G131" s="173" t="s">
        <v>91</v>
      </c>
      <c r="H131" s="165"/>
    </row>
    <row r="132" spans="4:12">
      <c r="F132" s="165"/>
      <c r="G132" s="175" t="s">
        <v>26</v>
      </c>
      <c r="H132" s="176" t="s">
        <v>25</v>
      </c>
    </row>
    <row r="133" spans="4:12">
      <c r="F133" s="165" t="s">
        <v>92</v>
      </c>
      <c r="G133" s="174">
        <f ca="1">(H133*$G$120)+$I$120</f>
        <v>0.75510934586702394</v>
      </c>
      <c r="H133" s="167">
        <f ca="1">(O120-I120)/(2*TAN(RADIANS(60)))</f>
        <v>0.28885326660725547</v>
      </c>
    </row>
  </sheetData>
  <phoneticPr fontId="0" type="noConversion"/>
  <dataValidations count="1">
    <dataValidation type="list" allowBlank="1" showInputMessage="1" showErrorMessage="1" sqref="P1">
      <formula1>$S$2:$S$101</formula1>
    </dataValidation>
  </dataValidations>
  <printOptions horizontalCentered="1" verticalCentered="1" gridLines="1" gridLinesSet="0"/>
  <pageMargins left="0.35433070866141736" right="0.35433070866141736" top="0.72" bottom="0.76" header="0.51181102362204722" footer="0.51181102362204722"/>
  <pageSetup paperSize="9" scale="44" orientation="portrait" r:id="rId1"/>
  <headerFooter alignWithMargins="0">
    <oddHeader>&amp;L&amp;F&amp;C&amp;A&amp;R&amp;D &amp;T</oddHeader>
    <oddFooter xml:space="preserve">&amp;LMichael Silberbauer SilberbauerM@dwaf.gov.za&amp;CResource  Quality Services&amp;RDepartment of Water Affairs and Forestry.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K28"/>
  <sheetViews>
    <sheetView workbookViewId="0">
      <selection activeCell="K28" sqref="K28"/>
    </sheetView>
  </sheetViews>
  <sheetFormatPr defaultRowHeight="12.75"/>
  <sheetData>
    <row r="1" spans="2:11">
      <c r="B1" s="203"/>
      <c r="C1" s="203" t="s">
        <v>38</v>
      </c>
      <c r="D1" s="204" t="s">
        <v>99</v>
      </c>
      <c r="E1" s="204" t="s">
        <v>100</v>
      </c>
      <c r="F1" s="204" t="s">
        <v>53</v>
      </c>
      <c r="G1" s="204" t="s">
        <v>51</v>
      </c>
      <c r="H1" s="204" t="s">
        <v>55</v>
      </c>
      <c r="I1" s="204" t="s">
        <v>57</v>
      </c>
      <c r="J1" s="204" t="s">
        <v>102</v>
      </c>
      <c r="K1" s="204"/>
    </row>
    <row r="2" spans="2:11">
      <c r="B2" s="204"/>
      <c r="C2" s="205">
        <f t="shared" ref="C2:C17" ca="1" si="0">$D$2</f>
        <v>52.055395682565035</v>
      </c>
      <c r="D2" s="205">
        <f ca="1">Symbols!B13</f>
        <v>52.055395682565035</v>
      </c>
      <c r="E2" s="206">
        <v>0</v>
      </c>
      <c r="F2" s="206">
        <v>0</v>
      </c>
      <c r="G2" s="206">
        <v>0</v>
      </c>
      <c r="H2" s="206">
        <v>0</v>
      </c>
      <c r="I2" s="206">
        <v>0</v>
      </c>
      <c r="J2" s="206">
        <v>0</v>
      </c>
      <c r="K2" s="205"/>
    </row>
    <row r="3" spans="2:11">
      <c r="B3" s="204"/>
      <c r="C3" s="205">
        <f t="shared" ca="1" si="0"/>
        <v>52.055395682565035</v>
      </c>
      <c r="D3" s="205">
        <f ca="1">Symbols!L15</f>
        <v>0</v>
      </c>
      <c r="E3" s="206">
        <v>0</v>
      </c>
      <c r="F3" s="206">
        <v>0</v>
      </c>
      <c r="G3" s="206">
        <v>0</v>
      </c>
      <c r="H3" s="206">
        <v>0</v>
      </c>
      <c r="I3" s="206">
        <v>0</v>
      </c>
      <c r="J3" s="206">
        <v>0</v>
      </c>
      <c r="K3" s="205"/>
    </row>
    <row r="4" spans="2:11">
      <c r="B4" s="204"/>
      <c r="C4" s="205">
        <f t="shared" ca="1" si="0"/>
        <v>52.055395682565035</v>
      </c>
      <c r="D4" s="205">
        <f ca="1">D2</f>
        <v>52.055395682565035</v>
      </c>
      <c r="E4" s="205">
        <f ca="1">D2</f>
        <v>52.055395682565035</v>
      </c>
      <c r="F4" s="206">
        <v>0</v>
      </c>
      <c r="G4" s="206">
        <v>0</v>
      </c>
      <c r="H4" s="206">
        <v>0</v>
      </c>
      <c r="I4" s="206">
        <v>0</v>
      </c>
      <c r="J4" s="206">
        <v>0</v>
      </c>
      <c r="K4" s="205"/>
    </row>
    <row r="5" spans="2:11">
      <c r="B5" s="204"/>
      <c r="C5" s="205">
        <f t="shared" ca="1" si="0"/>
        <v>52.055395682565035</v>
      </c>
      <c r="D5" s="206">
        <v>0</v>
      </c>
      <c r="E5" s="205">
        <f ca="1">Symbols!N15</f>
        <v>177.59024780673448</v>
      </c>
      <c r="F5" s="206">
        <v>0</v>
      </c>
      <c r="G5" s="206">
        <v>0</v>
      </c>
      <c r="H5" s="206">
        <v>0</v>
      </c>
      <c r="I5" s="206">
        <v>0</v>
      </c>
      <c r="J5" s="206">
        <v>0</v>
      </c>
      <c r="K5" s="205"/>
    </row>
    <row r="6" spans="2:11">
      <c r="B6" s="204"/>
      <c r="C6" s="205">
        <f t="shared" ca="1" si="0"/>
        <v>52.055395682565035</v>
      </c>
      <c r="D6" s="206">
        <v>0</v>
      </c>
      <c r="E6" s="205">
        <f ca="1">D2</f>
        <v>52.055395682565035</v>
      </c>
      <c r="F6" s="205">
        <f ca="1">D2</f>
        <v>52.055395682565035</v>
      </c>
      <c r="G6" s="206">
        <v>0</v>
      </c>
      <c r="H6" s="206">
        <v>0</v>
      </c>
      <c r="I6" s="206">
        <v>0</v>
      </c>
      <c r="J6" s="206">
        <v>0</v>
      </c>
      <c r="K6" s="205"/>
    </row>
    <row r="7" spans="2:11">
      <c r="B7" s="204"/>
      <c r="C7" s="205">
        <f t="shared" ca="1" si="0"/>
        <v>52.055395682565035</v>
      </c>
      <c r="D7" s="206">
        <v>0</v>
      </c>
      <c r="E7" s="206">
        <v>0</v>
      </c>
      <c r="F7" s="205">
        <f ca="1">Symbols!B15</f>
        <v>12.341077939540275</v>
      </c>
      <c r="G7" s="206">
        <v>0</v>
      </c>
      <c r="H7" s="206">
        <v>0</v>
      </c>
      <c r="I7" s="206">
        <v>0</v>
      </c>
      <c r="J7" s="206">
        <v>0</v>
      </c>
      <c r="K7" s="205"/>
    </row>
    <row r="8" spans="2:11">
      <c r="B8" s="204"/>
      <c r="C8" s="205">
        <f t="shared" ca="1" si="0"/>
        <v>52.055395682565035</v>
      </c>
      <c r="D8" s="206">
        <v>0</v>
      </c>
      <c r="E8" s="206">
        <v>0</v>
      </c>
      <c r="F8" s="205">
        <f ca="1">D2</f>
        <v>52.055395682565035</v>
      </c>
      <c r="G8" s="205">
        <f ca="1">D2</f>
        <v>52.055395682565035</v>
      </c>
      <c r="H8" s="206">
        <v>0</v>
      </c>
      <c r="I8" s="206">
        <v>0</v>
      </c>
      <c r="J8" s="206">
        <v>0</v>
      </c>
      <c r="K8" s="205"/>
    </row>
    <row r="9" spans="2:11">
      <c r="B9" s="204"/>
      <c r="C9" s="205">
        <f t="shared" ca="1" si="0"/>
        <v>52.055395682565035</v>
      </c>
      <c r="D9" s="206">
        <v>0</v>
      </c>
      <c r="E9" s="206">
        <v>0</v>
      </c>
      <c r="F9" s="206">
        <v>0</v>
      </c>
      <c r="G9" s="205">
        <f ca="1">Symbols!D15</f>
        <v>13.192489433235442</v>
      </c>
      <c r="H9" s="206">
        <v>0</v>
      </c>
      <c r="I9" s="206">
        <v>0</v>
      </c>
      <c r="J9" s="206">
        <v>0</v>
      </c>
      <c r="K9" s="205"/>
    </row>
    <row r="10" spans="2:11">
      <c r="B10" s="204"/>
      <c r="C10" s="205">
        <f t="shared" ca="1" si="0"/>
        <v>52.055395682565035</v>
      </c>
      <c r="D10" s="206">
        <v>0</v>
      </c>
      <c r="E10" s="206">
        <v>0</v>
      </c>
      <c r="F10" s="206">
        <v>0</v>
      </c>
      <c r="G10" s="205">
        <f ca="1">D2</f>
        <v>52.055395682565035</v>
      </c>
      <c r="H10" s="205">
        <f ca="1">D2</f>
        <v>52.055395682565035</v>
      </c>
      <c r="I10" s="206">
        <v>0</v>
      </c>
      <c r="J10" s="206">
        <v>0</v>
      </c>
      <c r="K10" s="205"/>
    </row>
    <row r="11" spans="2:11">
      <c r="B11" s="204"/>
      <c r="C11" s="205">
        <f t="shared" ca="1" si="0"/>
        <v>52.055395682565035</v>
      </c>
      <c r="D11" s="206">
        <v>0</v>
      </c>
      <c r="E11" s="206">
        <v>0</v>
      </c>
      <c r="F11" s="206">
        <v>0</v>
      </c>
      <c r="G11" s="206">
        <v>0</v>
      </c>
      <c r="H11" s="205">
        <f ca="1">Symbols!F15</f>
        <v>140.55874646334269</v>
      </c>
      <c r="I11" s="206">
        <v>0</v>
      </c>
      <c r="J11" s="206">
        <v>0</v>
      </c>
      <c r="K11" s="205"/>
    </row>
    <row r="12" spans="2:11">
      <c r="B12" s="204"/>
      <c r="C12" s="205">
        <f t="shared" ca="1" si="0"/>
        <v>52.055395682565035</v>
      </c>
      <c r="D12" s="206">
        <v>0</v>
      </c>
      <c r="E12" s="206">
        <v>0</v>
      </c>
      <c r="F12" s="206">
        <v>0</v>
      </c>
      <c r="G12" s="206">
        <v>0</v>
      </c>
      <c r="H12" s="205">
        <f ca="1">D2</f>
        <v>52.055395682565035</v>
      </c>
      <c r="I12" s="205">
        <f ca="1">D2</f>
        <v>52.055395682565035</v>
      </c>
      <c r="J12" s="206">
        <v>0</v>
      </c>
      <c r="K12" s="205"/>
    </row>
    <row r="13" spans="2:11">
      <c r="B13" s="204"/>
      <c r="C13" s="205">
        <f t="shared" ca="1" si="0"/>
        <v>52.055395682565035</v>
      </c>
      <c r="D13" s="206">
        <v>0</v>
      </c>
      <c r="E13" s="206">
        <v>0</v>
      </c>
      <c r="F13" s="206">
        <v>0</v>
      </c>
      <c r="G13" s="206">
        <v>0</v>
      </c>
      <c r="H13" s="206">
        <v>0</v>
      </c>
      <c r="I13" s="205">
        <f ca="1">Symbols!H15</f>
        <v>15.461324710469819</v>
      </c>
      <c r="J13" s="206">
        <v>0</v>
      </c>
      <c r="K13" s="205"/>
    </row>
    <row r="14" spans="2:11">
      <c r="B14" s="204"/>
      <c r="C14" s="205">
        <f t="shared" ca="1" si="0"/>
        <v>52.055395682565035</v>
      </c>
      <c r="D14" s="206">
        <v>0</v>
      </c>
      <c r="E14" s="206">
        <v>0</v>
      </c>
      <c r="F14" s="206">
        <v>0</v>
      </c>
      <c r="G14" s="206">
        <v>0</v>
      </c>
      <c r="H14" s="206">
        <v>0</v>
      </c>
      <c r="I14" s="205">
        <f ca="1">D2</f>
        <v>52.055395682565035</v>
      </c>
      <c r="J14" s="205">
        <f ca="1">D2</f>
        <v>52.055395682565035</v>
      </c>
      <c r="K14" s="205"/>
    </row>
    <row r="15" spans="2:11">
      <c r="B15" s="204"/>
      <c r="C15" s="205">
        <f t="shared" ca="1" si="0"/>
        <v>52.055395682565035</v>
      </c>
      <c r="D15" s="206">
        <v>0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  <c r="J15" s="205">
        <f ca="1">Symbols!J15</f>
        <v>57.299279107197492</v>
      </c>
      <c r="K15" s="205"/>
    </row>
    <row r="16" spans="2:11">
      <c r="B16" s="204"/>
      <c r="C16" s="205">
        <f t="shared" ca="1" si="0"/>
        <v>52.055395682565035</v>
      </c>
      <c r="D16" s="206">
        <v>0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5">
        <f ca="1">D2</f>
        <v>52.055395682565035</v>
      </c>
      <c r="K16" s="205"/>
    </row>
    <row r="17" spans="2:11">
      <c r="B17" s="204"/>
      <c r="C17" s="205">
        <f t="shared" ca="1" si="0"/>
        <v>52.055395682565035</v>
      </c>
      <c r="D17" s="206">
        <v>0</v>
      </c>
      <c r="E17" s="206">
        <v>0</v>
      </c>
      <c r="F17" s="206">
        <v>0</v>
      </c>
      <c r="G17" s="206">
        <v>0</v>
      </c>
      <c r="H17" s="206">
        <v>0</v>
      </c>
      <c r="I17" s="206">
        <v>0</v>
      </c>
      <c r="J17" s="206">
        <v>0</v>
      </c>
      <c r="K17" s="205"/>
    </row>
    <row r="18" spans="2:11">
      <c r="B18" s="207"/>
      <c r="C18" s="207"/>
      <c r="D18" s="208"/>
      <c r="E18" s="208"/>
      <c r="F18" s="208"/>
    </row>
    <row r="28" spans="2:11" ht="15">
      <c r="B28" s="213" t="str">
        <f ca="1">Symbols!B1</f>
        <v>Hem 10</v>
      </c>
    </row>
  </sheetData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Z79"/>
  <sheetViews>
    <sheetView workbookViewId="0">
      <pane xSplit="1" ySplit="1" topLeftCell="B51" activePane="bottomRight" state="frozen"/>
      <selection pane="topRight" activeCell="B1" sqref="B1"/>
      <selection pane="bottomLeft" activeCell="A2" sqref="A2"/>
      <selection pane="bottomRight" activeCell="A80" sqref="A80:XFD87"/>
    </sheetView>
  </sheetViews>
  <sheetFormatPr defaultRowHeight="12.75"/>
  <cols>
    <col min="1" max="1" width="15" style="189" customWidth="1"/>
    <col min="2" max="2" width="7.5703125" bestFit="1" customWidth="1"/>
    <col min="3" max="3" width="10.5703125" bestFit="1" customWidth="1"/>
    <col min="4" max="4" width="6.5703125" bestFit="1" customWidth="1"/>
    <col min="5" max="5" width="7" bestFit="1" customWidth="1"/>
    <col min="6" max="6" width="10.140625" bestFit="1" customWidth="1"/>
    <col min="7" max="7" width="10.7109375" bestFit="1" customWidth="1"/>
    <col min="8" max="8" width="10" bestFit="1" customWidth="1"/>
    <col min="9" max="9" width="10.5703125" bestFit="1" customWidth="1"/>
    <col min="10" max="10" width="6.5703125" bestFit="1" customWidth="1"/>
    <col min="11" max="11" width="7.140625" bestFit="1" customWidth="1"/>
    <col min="12" max="12" width="7.140625" customWidth="1"/>
    <col min="13" max="13" width="6.5703125" bestFit="1" customWidth="1"/>
    <col min="14" max="14" width="7.140625" bestFit="1" customWidth="1"/>
    <col min="15" max="15" width="7.140625" customWidth="1"/>
    <col min="16" max="16" width="10.5703125" bestFit="1" customWidth="1"/>
    <col min="17" max="17" width="10" bestFit="1" customWidth="1"/>
    <col min="18" max="18" width="10.5703125" bestFit="1" customWidth="1"/>
    <col min="19" max="19" width="9.85546875" bestFit="1" customWidth="1"/>
    <col min="20" max="20" width="10.42578125" bestFit="1" customWidth="1"/>
    <col min="21" max="21" width="9.85546875" bestFit="1" customWidth="1"/>
    <col min="23" max="23" width="10.42578125" bestFit="1" customWidth="1"/>
    <col min="24" max="24" width="10.140625" bestFit="1" customWidth="1"/>
    <col min="25" max="25" width="8.42578125" bestFit="1" customWidth="1"/>
    <col min="26" max="26" width="7.7109375" bestFit="1" customWidth="1"/>
    <col min="27" max="27" width="8.28515625" bestFit="1" customWidth="1"/>
    <col min="28" max="28" width="6" bestFit="1" customWidth="1"/>
    <col min="29" max="29" width="6.28515625" bestFit="1" customWidth="1"/>
    <col min="30" max="30" width="6" bestFit="1" customWidth="1"/>
    <col min="31" max="31" width="7" bestFit="1" customWidth="1"/>
    <col min="32" max="35" width="6" bestFit="1" customWidth="1"/>
    <col min="36" max="39" width="7" bestFit="1" customWidth="1"/>
    <col min="40" max="40" width="7.28515625" bestFit="1" customWidth="1"/>
    <col min="41" max="41" width="8" bestFit="1" customWidth="1"/>
    <col min="42" max="42" width="7.28515625" bestFit="1" customWidth="1"/>
    <col min="43" max="43" width="8" bestFit="1" customWidth="1"/>
    <col min="44" max="47" width="7" bestFit="1" customWidth="1"/>
    <col min="48" max="48" width="6" bestFit="1" customWidth="1"/>
    <col min="49" max="51" width="7" bestFit="1" customWidth="1"/>
    <col min="52" max="52" width="6.5703125" bestFit="1" customWidth="1"/>
    <col min="53" max="53" width="7.140625" bestFit="1" customWidth="1"/>
    <col min="54" max="54" width="7" bestFit="1" customWidth="1"/>
    <col min="55" max="55" width="7.140625" bestFit="1" customWidth="1"/>
    <col min="56" max="59" width="7" bestFit="1" customWidth="1"/>
    <col min="60" max="60" width="6.28515625" bestFit="1" customWidth="1"/>
    <col min="61" max="61" width="6.85546875" bestFit="1" customWidth="1"/>
    <col min="62" max="62" width="6.28515625" bestFit="1" customWidth="1"/>
    <col min="63" max="63" width="6.85546875" bestFit="1" customWidth="1"/>
    <col min="64" max="64" width="8" bestFit="1" customWidth="1"/>
    <col min="65" max="65" width="8.140625" bestFit="1" customWidth="1"/>
    <col min="66" max="66" width="8" bestFit="1" customWidth="1"/>
    <col min="67" max="67" width="8.140625" bestFit="1" customWidth="1"/>
    <col min="68" max="68" width="6.5703125" bestFit="1" customWidth="1"/>
    <col min="69" max="69" width="7.140625" bestFit="1" customWidth="1"/>
    <col min="70" max="70" width="6.5703125" bestFit="1" customWidth="1"/>
    <col min="71" max="71" width="7.140625" bestFit="1" customWidth="1"/>
    <col min="72" max="72" width="5.42578125" bestFit="1" customWidth="1"/>
    <col min="73" max="74" width="6" bestFit="1" customWidth="1"/>
    <col min="75" max="75" width="7" bestFit="1" customWidth="1"/>
  </cols>
  <sheetData>
    <row r="1" spans="1:26">
      <c r="A1" s="202" t="s">
        <v>104</v>
      </c>
      <c r="B1" s="182" t="s">
        <v>100</v>
      </c>
      <c r="C1" s="182" t="s">
        <v>99</v>
      </c>
      <c r="D1" s="182" t="s">
        <v>51</v>
      </c>
      <c r="E1" s="182" t="s">
        <v>53</v>
      </c>
      <c r="F1" s="182" t="s">
        <v>55</v>
      </c>
      <c r="G1" s="182" t="s">
        <v>57</v>
      </c>
      <c r="H1" s="182" t="s">
        <v>102</v>
      </c>
      <c r="I1" s="77" t="s">
        <v>103</v>
      </c>
      <c r="J1" s="77" t="s">
        <v>101</v>
      </c>
      <c r="K1" s="75" t="s">
        <v>98</v>
      </c>
      <c r="L1" s="75"/>
      <c r="M1" s="75" t="s">
        <v>96</v>
      </c>
      <c r="N1" s="75" t="s">
        <v>97</v>
      </c>
      <c r="O1" s="75" t="s">
        <v>180</v>
      </c>
      <c r="P1" s="75" t="s">
        <v>63</v>
      </c>
      <c r="Q1" s="75" t="s">
        <v>62</v>
      </c>
      <c r="R1" s="75" t="s">
        <v>64</v>
      </c>
      <c r="S1" s="75" t="s">
        <v>60</v>
      </c>
      <c r="T1" s="75" t="s">
        <v>59</v>
      </c>
      <c r="U1" s="75" t="s">
        <v>61</v>
      </c>
    </row>
    <row r="2" spans="1:26">
      <c r="A2" s="189" t="s">
        <v>105</v>
      </c>
      <c r="B2" s="183">
        <v>56.250999999999998</v>
      </c>
      <c r="C2" s="183">
        <v>11.208</v>
      </c>
      <c r="D2" s="183">
        <v>15.757999999999999</v>
      </c>
      <c r="E2" s="183">
        <v>29.588000000000001</v>
      </c>
      <c r="F2" s="183">
        <v>44.082999999999998</v>
      </c>
      <c r="G2" s="183">
        <v>55.863</v>
      </c>
      <c r="H2" s="183">
        <v>131.28299999999999</v>
      </c>
      <c r="I2" s="184">
        <v>403.65</v>
      </c>
      <c r="J2" s="184">
        <v>59.3</v>
      </c>
      <c r="K2">
        <v>7.9829999999999997</v>
      </c>
      <c r="M2">
        <v>3.597</v>
      </c>
      <c r="N2">
        <v>7.8239999999999998</v>
      </c>
      <c r="P2">
        <v>0.28199999999999997</v>
      </c>
      <c r="Q2">
        <v>0.40699999999999997</v>
      </c>
      <c r="R2">
        <v>0.47199999999999998</v>
      </c>
      <c r="S2">
        <v>0.497</v>
      </c>
      <c r="T2">
        <v>0.85499999999999998</v>
      </c>
      <c r="U2">
        <v>1.845</v>
      </c>
    </row>
    <row r="3" spans="1:26">
      <c r="A3" s="189" t="s">
        <v>95</v>
      </c>
      <c r="B3" s="183">
        <v>15</v>
      </c>
      <c r="C3" s="184">
        <v>1.2</v>
      </c>
      <c r="D3" s="184">
        <v>1.8</v>
      </c>
      <c r="E3" s="184">
        <v>3.5</v>
      </c>
      <c r="F3" s="184">
        <v>1.1000000000000001</v>
      </c>
      <c r="G3" s="184">
        <v>19</v>
      </c>
      <c r="H3" s="185">
        <v>22</v>
      </c>
      <c r="I3" s="184">
        <v>75</v>
      </c>
      <c r="J3" s="184"/>
      <c r="M3">
        <v>1.8</v>
      </c>
      <c r="P3" s="75"/>
      <c r="Q3" s="75"/>
      <c r="R3" s="75"/>
      <c r="S3" s="75"/>
      <c r="T3" s="75"/>
      <c r="U3" s="75"/>
    </row>
    <row r="4" spans="1:26">
      <c r="A4" s="189" t="s">
        <v>106</v>
      </c>
      <c r="B4" s="186">
        <v>230</v>
      </c>
      <c r="C4">
        <v>12</v>
      </c>
      <c r="D4">
        <v>14</v>
      </c>
      <c r="E4">
        <v>29</v>
      </c>
      <c r="F4">
        <v>180</v>
      </c>
      <c r="G4">
        <v>89</v>
      </c>
      <c r="H4">
        <v>418.46</v>
      </c>
    </row>
    <row r="5" spans="1:26">
      <c r="A5" s="190" t="s">
        <v>109</v>
      </c>
      <c r="B5" s="191">
        <v>261.23</v>
      </c>
      <c r="C5" s="192">
        <v>22.01</v>
      </c>
      <c r="D5" s="192">
        <v>32.01</v>
      </c>
      <c r="E5" s="192">
        <v>53.99</v>
      </c>
      <c r="F5" s="192">
        <v>175.51</v>
      </c>
      <c r="G5" s="192">
        <v>224.16</v>
      </c>
      <c r="H5" s="192">
        <v>453.39</v>
      </c>
      <c r="W5" t="s">
        <v>118</v>
      </c>
    </row>
    <row r="6" spans="1:26">
      <c r="A6" s="190" t="s">
        <v>110</v>
      </c>
      <c r="B6" s="191">
        <v>1287</v>
      </c>
      <c r="C6" s="192">
        <v>77.64</v>
      </c>
      <c r="D6" s="192">
        <v>75.099999999999994</v>
      </c>
      <c r="E6" s="192">
        <v>70.69</v>
      </c>
      <c r="F6" s="192">
        <v>433.71</v>
      </c>
      <c r="G6" s="192">
        <v>1165.71</v>
      </c>
      <c r="H6" s="192">
        <v>1541.14</v>
      </c>
      <c r="W6" t="s">
        <v>119</v>
      </c>
    </row>
    <row r="7" spans="1:26">
      <c r="A7" s="190" t="s">
        <v>111</v>
      </c>
      <c r="B7" s="191">
        <v>967.75</v>
      </c>
      <c r="C7" s="192">
        <v>77.25</v>
      </c>
      <c r="D7" s="192">
        <v>3.44</v>
      </c>
      <c r="E7" s="192">
        <v>4.4000000000000004</v>
      </c>
      <c r="F7" s="192">
        <v>336.25</v>
      </c>
      <c r="G7" s="192">
        <v>464.5</v>
      </c>
      <c r="H7" s="192">
        <v>1122.25</v>
      </c>
      <c r="W7" t="s">
        <v>121</v>
      </c>
    </row>
    <row r="8" spans="1:26">
      <c r="A8" s="190" t="s">
        <v>112</v>
      </c>
      <c r="B8" s="191">
        <v>70.760000000000005</v>
      </c>
      <c r="C8" s="192">
        <v>3.92</v>
      </c>
      <c r="D8" s="192">
        <v>29.09</v>
      </c>
      <c r="E8" s="192">
        <v>95.91</v>
      </c>
      <c r="F8" s="192">
        <v>211.92</v>
      </c>
      <c r="G8" s="192">
        <v>46.34</v>
      </c>
      <c r="H8" s="192">
        <v>274.82</v>
      </c>
      <c r="W8" t="s">
        <v>120</v>
      </c>
    </row>
    <row r="9" spans="1:26">
      <c r="A9" s="190" t="s">
        <v>113</v>
      </c>
      <c r="B9" s="191">
        <v>32.869999999999997</v>
      </c>
      <c r="C9" s="192">
        <v>3.2</v>
      </c>
      <c r="D9" s="192">
        <v>15.2</v>
      </c>
      <c r="E9" s="192">
        <v>62.96</v>
      </c>
      <c r="F9" s="192">
        <v>68.69</v>
      </c>
      <c r="G9" s="192">
        <v>25.64</v>
      </c>
      <c r="H9" s="192">
        <v>220.58</v>
      </c>
    </row>
    <row r="10" spans="1:26">
      <c r="A10" s="190" t="s">
        <v>114</v>
      </c>
      <c r="B10" s="191">
        <v>44.57</v>
      </c>
      <c r="C10" s="192">
        <v>5.83</v>
      </c>
      <c r="D10" s="192">
        <v>5.76</v>
      </c>
      <c r="E10" s="192">
        <v>25.43</v>
      </c>
      <c r="F10" s="192">
        <v>16.489999999999998</v>
      </c>
      <c r="G10" s="192">
        <v>40.9</v>
      </c>
      <c r="H10" s="192">
        <v>155</v>
      </c>
    </row>
    <row r="11" spans="1:26">
      <c r="A11" s="190" t="s">
        <v>115</v>
      </c>
      <c r="B11" s="191">
        <v>29.28</v>
      </c>
      <c r="C11" s="192">
        <v>2.8</v>
      </c>
      <c r="D11" s="192">
        <v>8.57</v>
      </c>
      <c r="E11" s="192">
        <v>42.26</v>
      </c>
      <c r="F11" s="192">
        <v>37.96</v>
      </c>
      <c r="G11" s="192">
        <v>15.2</v>
      </c>
      <c r="H11" s="192">
        <v>177.5</v>
      </c>
    </row>
    <row r="12" spans="1:26">
      <c r="A12" s="190" t="s">
        <v>116</v>
      </c>
      <c r="B12" s="191">
        <v>30.99</v>
      </c>
      <c r="C12" s="193">
        <v>1.03</v>
      </c>
      <c r="D12" s="192">
        <v>1.81</v>
      </c>
      <c r="E12" s="192">
        <v>22.38</v>
      </c>
      <c r="F12" s="192">
        <v>19.7</v>
      </c>
      <c r="G12" s="192">
        <v>5.61</v>
      </c>
      <c r="H12" s="192">
        <v>124.37</v>
      </c>
    </row>
    <row r="13" spans="1:26">
      <c r="A13" s="190" t="s">
        <v>117</v>
      </c>
      <c r="B13" s="191">
        <v>12.1</v>
      </c>
      <c r="C13" s="192">
        <v>0.92</v>
      </c>
      <c r="D13" s="192">
        <v>1.21</v>
      </c>
      <c r="E13" s="192">
        <v>11.59</v>
      </c>
      <c r="F13" s="192">
        <v>0.82</v>
      </c>
      <c r="G13" s="192">
        <v>1.23</v>
      </c>
      <c r="H13" s="192">
        <v>70.56</v>
      </c>
      <c r="W13" s="214" t="s">
        <v>221</v>
      </c>
    </row>
    <row r="14" spans="1:26" s="196" customFormat="1">
      <c r="A14" s="189"/>
      <c r="B14" s="75"/>
      <c r="C14" s="75"/>
      <c r="D14" s="75"/>
      <c r="E14" s="75"/>
      <c r="F14" s="75"/>
      <c r="G14" s="75"/>
      <c r="H14" s="75"/>
      <c r="I14" s="75"/>
      <c r="K14" s="75"/>
      <c r="W14" s="197" t="s">
        <v>158</v>
      </c>
      <c r="X14" s="197" t="s">
        <v>159</v>
      </c>
      <c r="Y14" s="196" t="s">
        <v>205</v>
      </c>
    </row>
    <row r="15" spans="1:26">
      <c r="A15" s="189">
        <f t="shared" ref="A15:A58" si="0">IF(ISERR(HEX2DEC(Z15)),Z15,HEX2DEC(Z15))</f>
        <v>188188</v>
      </c>
      <c r="B15">
        <v>123.35599999999999</v>
      </c>
      <c r="C15" s="75">
        <v>15532.2</v>
      </c>
      <c r="D15">
        <v>23.384</v>
      </c>
      <c r="E15">
        <v>31.288</v>
      </c>
      <c r="F15">
        <v>99.524000000000001</v>
      </c>
      <c r="G15">
        <v>15427.1</v>
      </c>
      <c r="H15">
        <v>311.51</v>
      </c>
      <c r="I15">
        <v>31942.116999999998</v>
      </c>
      <c r="K15">
        <v>7.82</v>
      </c>
      <c r="W15" s="197" t="s">
        <v>160</v>
      </c>
      <c r="X15" s="198">
        <v>38280</v>
      </c>
      <c r="Z15" s="189" t="s">
        <v>122</v>
      </c>
    </row>
    <row r="16" spans="1:26">
      <c r="A16" s="189" t="str">
        <f t="shared" si="0"/>
        <v>H1H006Q01</v>
      </c>
      <c r="B16">
        <v>5.7</v>
      </c>
      <c r="C16" s="75">
        <v>109.33</v>
      </c>
      <c r="D16">
        <v>2.4</v>
      </c>
      <c r="E16">
        <v>3</v>
      </c>
      <c r="F16">
        <v>2</v>
      </c>
      <c r="G16">
        <v>107.4</v>
      </c>
      <c r="H16">
        <v>14.8</v>
      </c>
      <c r="I16">
        <v>254</v>
      </c>
      <c r="K16">
        <v>5.94</v>
      </c>
      <c r="W16" s="197" t="s">
        <v>161</v>
      </c>
      <c r="X16" s="198">
        <v>27919</v>
      </c>
      <c r="Z16" s="189" t="s">
        <v>123</v>
      </c>
    </row>
    <row r="17" spans="1:26">
      <c r="A17" s="189" t="str">
        <f t="shared" si="0"/>
        <v>G4H022Q01</v>
      </c>
      <c r="B17">
        <v>10.199999999999999</v>
      </c>
      <c r="C17" s="75">
        <v>83.02</v>
      </c>
      <c r="D17">
        <v>1.9</v>
      </c>
      <c r="E17">
        <v>2.1</v>
      </c>
      <c r="F17">
        <v>8</v>
      </c>
      <c r="G17">
        <v>91.1</v>
      </c>
      <c r="H17">
        <v>12.2</v>
      </c>
      <c r="I17">
        <v>212</v>
      </c>
      <c r="K17">
        <v>4.0999999999999996</v>
      </c>
      <c r="W17" s="197" t="s">
        <v>162</v>
      </c>
      <c r="X17" s="198">
        <v>32357</v>
      </c>
      <c r="Z17" s="189" t="s">
        <v>124</v>
      </c>
    </row>
    <row r="18" spans="1:26">
      <c r="A18" s="189" t="str">
        <f t="shared" si="0"/>
        <v>G2H007Q01</v>
      </c>
      <c r="B18">
        <v>4</v>
      </c>
      <c r="C18" s="75">
        <v>21.34</v>
      </c>
      <c r="D18">
        <v>1</v>
      </c>
      <c r="E18">
        <v>0.5</v>
      </c>
      <c r="F18">
        <v>2</v>
      </c>
      <c r="G18">
        <v>23.4</v>
      </c>
      <c r="H18">
        <v>2</v>
      </c>
      <c r="I18">
        <v>55</v>
      </c>
      <c r="K18">
        <v>4.34</v>
      </c>
      <c r="W18" s="197" t="s">
        <v>163</v>
      </c>
      <c r="X18" s="198">
        <v>32302</v>
      </c>
      <c r="Z18" s="189" t="s">
        <v>125</v>
      </c>
    </row>
    <row r="19" spans="1:26">
      <c r="A19" s="189" t="str">
        <f t="shared" si="0"/>
        <v>G1H018Q01</v>
      </c>
      <c r="B19">
        <v>4.4000000000000004</v>
      </c>
      <c r="C19" s="75">
        <v>19.12</v>
      </c>
      <c r="D19">
        <v>0.5</v>
      </c>
      <c r="E19">
        <v>0.5</v>
      </c>
      <c r="F19">
        <v>2</v>
      </c>
      <c r="G19">
        <v>21.9</v>
      </c>
      <c r="H19">
        <v>2</v>
      </c>
      <c r="I19">
        <v>54</v>
      </c>
      <c r="K19">
        <v>4.13</v>
      </c>
      <c r="W19" s="197" t="s">
        <v>164</v>
      </c>
      <c r="X19" s="198">
        <v>32331</v>
      </c>
      <c r="Z19" s="189" t="s">
        <v>126</v>
      </c>
    </row>
    <row r="20" spans="1:26">
      <c r="A20" s="189" t="str">
        <f t="shared" si="0"/>
        <v>G1H050S01</v>
      </c>
      <c r="B20">
        <v>15.1</v>
      </c>
      <c r="C20" s="75">
        <v>66.930000000000007</v>
      </c>
      <c r="D20">
        <v>3.3</v>
      </c>
      <c r="E20">
        <v>7.1</v>
      </c>
      <c r="F20">
        <v>7.2</v>
      </c>
      <c r="G20">
        <v>88</v>
      </c>
      <c r="H20">
        <v>14.4</v>
      </c>
      <c r="I20">
        <v>206</v>
      </c>
      <c r="K20">
        <v>8.92</v>
      </c>
      <c r="W20" s="197" t="s">
        <v>164</v>
      </c>
      <c r="X20" s="198">
        <v>33051</v>
      </c>
      <c r="Z20" s="189" t="s">
        <v>127</v>
      </c>
    </row>
    <row r="21" spans="1:26">
      <c r="A21" s="189">
        <f t="shared" si="0"/>
        <v>99830</v>
      </c>
      <c r="B21">
        <v>2</v>
      </c>
      <c r="C21" s="75">
        <v>3.88</v>
      </c>
      <c r="D21">
        <v>0.5</v>
      </c>
      <c r="E21">
        <v>0.5</v>
      </c>
      <c r="F21">
        <v>2</v>
      </c>
      <c r="G21">
        <v>3.3</v>
      </c>
      <c r="H21">
        <v>2</v>
      </c>
      <c r="I21">
        <v>13</v>
      </c>
      <c r="K21">
        <v>6.37</v>
      </c>
      <c r="W21" s="197" t="s">
        <v>164</v>
      </c>
      <c r="X21" s="198">
        <v>28174</v>
      </c>
      <c r="Z21" s="189" t="s">
        <v>128</v>
      </c>
    </row>
    <row r="22" spans="1:26">
      <c r="A22" s="189" t="str">
        <f t="shared" si="0"/>
        <v>Q9H026Q01</v>
      </c>
      <c r="B22">
        <v>16.399999999999999</v>
      </c>
      <c r="C22" s="75">
        <v>73.319999999999993</v>
      </c>
      <c r="D22">
        <v>3.6</v>
      </c>
      <c r="E22">
        <v>6.9</v>
      </c>
      <c r="F22">
        <v>18.5</v>
      </c>
      <c r="G22">
        <v>89.4</v>
      </c>
      <c r="H22">
        <v>30</v>
      </c>
      <c r="I22">
        <v>246</v>
      </c>
      <c r="K22">
        <v>7.2</v>
      </c>
      <c r="W22" s="197" t="s">
        <v>165</v>
      </c>
      <c r="X22" s="198">
        <v>31408</v>
      </c>
      <c r="Z22" s="189" t="s">
        <v>129</v>
      </c>
    </row>
    <row r="23" spans="1:26">
      <c r="A23" s="189">
        <f t="shared" si="0"/>
        <v>187107</v>
      </c>
      <c r="B23">
        <v>15.112</v>
      </c>
      <c r="C23" s="75">
        <v>367.03699999999998</v>
      </c>
      <c r="D23">
        <v>24.437000000000001</v>
      </c>
      <c r="E23">
        <v>119.402</v>
      </c>
      <c r="F23">
        <v>77.78</v>
      </c>
      <c r="G23">
        <v>46.512999999999998</v>
      </c>
      <c r="H23">
        <v>488.4</v>
      </c>
      <c r="I23">
        <v>1249.9960000000001</v>
      </c>
      <c r="K23">
        <v>5.0659999999999998</v>
      </c>
      <c r="W23" s="197" t="s">
        <v>166</v>
      </c>
      <c r="X23" s="198">
        <v>37796</v>
      </c>
      <c r="Z23" s="189" t="s">
        <v>130</v>
      </c>
    </row>
    <row r="24" spans="1:26">
      <c r="A24" s="189">
        <f t="shared" si="0"/>
        <v>175543</v>
      </c>
      <c r="B24">
        <v>1339.8</v>
      </c>
      <c r="C24" s="75">
        <v>4174.16</v>
      </c>
      <c r="D24">
        <v>42</v>
      </c>
      <c r="E24">
        <v>46.9</v>
      </c>
      <c r="F24">
        <v>401.7</v>
      </c>
      <c r="G24">
        <v>954.4</v>
      </c>
      <c r="H24">
        <v>6603</v>
      </c>
      <c r="I24">
        <v>15181</v>
      </c>
      <c r="K24">
        <v>8.7200000000000006</v>
      </c>
      <c r="W24" s="197" t="s">
        <v>167</v>
      </c>
      <c r="X24" s="198">
        <v>35024</v>
      </c>
      <c r="Z24" s="189" t="s">
        <v>131</v>
      </c>
    </row>
    <row r="25" spans="1:26">
      <c r="A25" s="189">
        <f t="shared" si="0"/>
        <v>175543</v>
      </c>
      <c r="B25">
        <v>1072.4000000000001</v>
      </c>
      <c r="C25">
        <v>3227.21</v>
      </c>
      <c r="D25">
        <v>35.5</v>
      </c>
      <c r="E25">
        <v>18.8</v>
      </c>
      <c r="F25">
        <v>50</v>
      </c>
      <c r="G25">
        <v>947.6</v>
      </c>
      <c r="H25">
        <v>4400</v>
      </c>
      <c r="I25">
        <v>11882</v>
      </c>
      <c r="K25">
        <v>8.4499999999999993</v>
      </c>
      <c r="W25" s="197" t="s">
        <v>167</v>
      </c>
      <c r="X25" s="198">
        <v>34970</v>
      </c>
      <c r="Z25" s="189" t="s">
        <v>131</v>
      </c>
    </row>
    <row r="26" spans="1:26">
      <c r="A26" s="189" t="str">
        <f t="shared" si="0"/>
        <v>G2H009Q01</v>
      </c>
      <c r="B26">
        <v>7.5</v>
      </c>
      <c r="C26">
        <v>17.190000000000001</v>
      </c>
      <c r="D26">
        <v>1.2</v>
      </c>
      <c r="E26">
        <v>0.5</v>
      </c>
      <c r="F26">
        <v>2</v>
      </c>
      <c r="G26">
        <v>27.8</v>
      </c>
      <c r="H26">
        <v>5.9</v>
      </c>
      <c r="I26">
        <v>64</v>
      </c>
      <c r="K26">
        <v>5.64</v>
      </c>
      <c r="W26" s="197" t="s">
        <v>163</v>
      </c>
      <c r="X26" s="198">
        <v>32449</v>
      </c>
      <c r="Z26" s="189" t="s">
        <v>132</v>
      </c>
    </row>
    <row r="27" spans="1:26">
      <c r="A27" s="189">
        <f t="shared" si="0"/>
        <v>170194</v>
      </c>
      <c r="B27">
        <v>1167.2</v>
      </c>
      <c r="C27">
        <v>2049.88</v>
      </c>
      <c r="D27">
        <v>42.5</v>
      </c>
      <c r="E27">
        <v>32</v>
      </c>
      <c r="F27">
        <v>968.7</v>
      </c>
      <c r="G27">
        <v>1421</v>
      </c>
      <c r="H27">
        <v>1482</v>
      </c>
      <c r="I27">
        <v>7641</v>
      </c>
      <c r="K27">
        <v>8.57</v>
      </c>
      <c r="W27" s="197" t="s">
        <v>167</v>
      </c>
      <c r="X27" s="198">
        <v>35024</v>
      </c>
      <c r="Z27" s="189" t="s">
        <v>133</v>
      </c>
    </row>
    <row r="28" spans="1:26">
      <c r="A28" s="189" t="str">
        <f t="shared" si="0"/>
        <v>G1H016Q01</v>
      </c>
      <c r="B28">
        <v>3.3</v>
      </c>
      <c r="C28" s="75">
        <v>9.18</v>
      </c>
      <c r="D28">
        <v>0.5</v>
      </c>
      <c r="E28">
        <v>0.5</v>
      </c>
      <c r="F28">
        <v>2</v>
      </c>
      <c r="G28">
        <v>14.7</v>
      </c>
      <c r="H28">
        <v>2</v>
      </c>
      <c r="I28">
        <v>35</v>
      </c>
      <c r="K28">
        <v>4.5599999999999996</v>
      </c>
      <c r="W28" s="197" t="s">
        <v>164</v>
      </c>
      <c r="X28" s="198">
        <v>32303</v>
      </c>
      <c r="Z28" s="189" t="s">
        <v>134</v>
      </c>
    </row>
    <row r="29" spans="1:26">
      <c r="A29" s="189" t="str">
        <f t="shared" si="0"/>
        <v>G2H010Q01</v>
      </c>
      <c r="B29">
        <v>7.6</v>
      </c>
      <c r="C29" s="75">
        <v>15.72</v>
      </c>
      <c r="D29">
        <v>1</v>
      </c>
      <c r="E29">
        <v>0.5</v>
      </c>
      <c r="F29">
        <v>2</v>
      </c>
      <c r="G29">
        <v>25.8</v>
      </c>
      <c r="H29">
        <v>5.8</v>
      </c>
      <c r="I29">
        <v>60</v>
      </c>
      <c r="K29">
        <v>5.5</v>
      </c>
      <c r="W29" s="197" t="s">
        <v>163</v>
      </c>
      <c r="X29" s="198">
        <v>32449</v>
      </c>
      <c r="Z29" s="189" t="s">
        <v>135</v>
      </c>
    </row>
    <row r="30" spans="1:26">
      <c r="A30" s="189" t="str">
        <f t="shared" si="0"/>
        <v>A6H022Q01</v>
      </c>
      <c r="B30">
        <v>1</v>
      </c>
      <c r="C30" s="75">
        <v>2.5299999999999998</v>
      </c>
      <c r="D30">
        <v>0.5</v>
      </c>
      <c r="E30">
        <v>0.5</v>
      </c>
      <c r="F30">
        <v>2</v>
      </c>
      <c r="G30">
        <v>1.5</v>
      </c>
      <c r="H30">
        <v>2</v>
      </c>
      <c r="I30">
        <v>10</v>
      </c>
      <c r="K30">
        <v>5.61</v>
      </c>
      <c r="W30" s="197" t="s">
        <v>168</v>
      </c>
      <c r="X30" s="198">
        <v>28492</v>
      </c>
      <c r="Z30" s="189" t="s">
        <v>136</v>
      </c>
    </row>
    <row r="31" spans="1:26">
      <c r="A31" s="189" t="str">
        <f t="shared" si="0"/>
        <v>C5H023Q01</v>
      </c>
      <c r="B31">
        <v>1</v>
      </c>
      <c r="C31" s="75">
        <v>8.32</v>
      </c>
      <c r="D31">
        <v>1.3</v>
      </c>
      <c r="E31">
        <v>2.2000000000000002</v>
      </c>
      <c r="F31">
        <v>6.3</v>
      </c>
      <c r="G31">
        <v>6.4</v>
      </c>
      <c r="H31">
        <v>5.8</v>
      </c>
      <c r="I31">
        <v>33</v>
      </c>
      <c r="K31">
        <v>6.05</v>
      </c>
      <c r="W31" s="197" t="s">
        <v>169</v>
      </c>
      <c r="X31" s="198">
        <v>32238</v>
      </c>
      <c r="Z31" s="189" t="s">
        <v>137</v>
      </c>
    </row>
    <row r="32" spans="1:26">
      <c r="A32" s="189" t="str">
        <f t="shared" si="0"/>
        <v>A6H021Q01</v>
      </c>
      <c r="B32">
        <v>1</v>
      </c>
      <c r="C32" s="75">
        <v>2.19</v>
      </c>
      <c r="D32">
        <v>0.5</v>
      </c>
      <c r="E32">
        <v>0.5</v>
      </c>
      <c r="F32">
        <v>2</v>
      </c>
      <c r="G32">
        <v>1.5</v>
      </c>
      <c r="H32">
        <v>2</v>
      </c>
      <c r="I32">
        <v>9</v>
      </c>
      <c r="K32">
        <v>5.42</v>
      </c>
      <c r="W32" s="197" t="s">
        <v>168</v>
      </c>
      <c r="X32" s="198">
        <v>28485</v>
      </c>
      <c r="Z32" s="189" t="s">
        <v>138</v>
      </c>
    </row>
    <row r="33" spans="1:26">
      <c r="A33" s="189" t="str">
        <f t="shared" si="0"/>
        <v>G2H007Q01</v>
      </c>
      <c r="B33">
        <v>4.2</v>
      </c>
      <c r="C33" s="75">
        <v>9.4700000000000006</v>
      </c>
      <c r="D33">
        <v>0.5</v>
      </c>
      <c r="E33">
        <v>0.5</v>
      </c>
      <c r="F33">
        <v>2</v>
      </c>
      <c r="G33">
        <v>17.100000000000001</v>
      </c>
      <c r="H33">
        <v>4</v>
      </c>
      <c r="I33">
        <v>39</v>
      </c>
      <c r="K33">
        <v>4.84</v>
      </c>
      <c r="W33" s="197" t="s">
        <v>163</v>
      </c>
      <c r="X33" s="198">
        <v>32449</v>
      </c>
      <c r="Z33" s="189" t="s">
        <v>125</v>
      </c>
    </row>
    <row r="34" spans="1:26">
      <c r="A34" s="189">
        <f t="shared" si="0"/>
        <v>184624</v>
      </c>
      <c r="B34">
        <v>2.9990000000000001</v>
      </c>
      <c r="C34" s="75">
        <v>40.85</v>
      </c>
      <c r="D34">
        <v>2.4329999999999998</v>
      </c>
      <c r="E34">
        <v>4.415</v>
      </c>
      <c r="F34">
        <v>81.072999999999993</v>
      </c>
      <c r="G34">
        <v>16.992999999999999</v>
      </c>
      <c r="H34">
        <v>14.725</v>
      </c>
      <c r="I34">
        <v>168.40799999999999</v>
      </c>
      <c r="K34">
        <v>6.9630000000000001</v>
      </c>
      <c r="W34" s="197" t="s">
        <v>170</v>
      </c>
      <c r="X34" s="198">
        <v>36964</v>
      </c>
      <c r="Z34" s="189" t="s">
        <v>139</v>
      </c>
    </row>
    <row r="35" spans="1:26">
      <c r="A35" s="189">
        <f t="shared" si="0"/>
        <v>187108</v>
      </c>
      <c r="B35">
        <v>21.367999999999999</v>
      </c>
      <c r="C35" s="75">
        <v>206.86600000000001</v>
      </c>
      <c r="D35">
        <v>12.582000000000001</v>
      </c>
      <c r="E35">
        <v>13.709</v>
      </c>
      <c r="F35">
        <v>123.94</v>
      </c>
      <c r="G35">
        <v>59.972000000000001</v>
      </c>
      <c r="H35">
        <v>323.46300000000002</v>
      </c>
      <c r="I35">
        <v>853.82600000000002</v>
      </c>
      <c r="K35">
        <v>6.9539999999999997</v>
      </c>
      <c r="M35" s="189"/>
      <c r="W35" s="197" t="s">
        <v>166</v>
      </c>
      <c r="X35" s="198">
        <v>37769</v>
      </c>
      <c r="Z35" s="189" t="s">
        <v>140</v>
      </c>
    </row>
    <row r="36" spans="1:26">
      <c r="A36" s="189">
        <f t="shared" si="0"/>
        <v>173866</v>
      </c>
      <c r="B36">
        <v>778.8</v>
      </c>
      <c r="C36" s="75">
        <v>1993.42</v>
      </c>
      <c r="D36">
        <v>8.3000000000000007</v>
      </c>
      <c r="E36">
        <v>21.7</v>
      </c>
      <c r="F36">
        <v>747.6</v>
      </c>
      <c r="G36">
        <v>1151.5999999999999</v>
      </c>
      <c r="H36">
        <v>2200</v>
      </c>
      <c r="I36">
        <v>8277</v>
      </c>
      <c r="K36">
        <v>7.9</v>
      </c>
      <c r="W36" s="197" t="s">
        <v>167</v>
      </c>
      <c r="X36" s="198">
        <v>34969</v>
      </c>
      <c r="Z36" s="189" t="s">
        <v>141</v>
      </c>
    </row>
    <row r="37" spans="1:26">
      <c r="A37" s="189" t="str">
        <f t="shared" si="0"/>
        <v>N1H011Q01</v>
      </c>
      <c r="B37">
        <v>8.3000000000000007</v>
      </c>
      <c r="C37" s="75">
        <v>89.11</v>
      </c>
      <c r="D37">
        <v>15.6</v>
      </c>
      <c r="E37">
        <v>19.3</v>
      </c>
      <c r="F37">
        <v>26.4</v>
      </c>
      <c r="G37">
        <v>44.2</v>
      </c>
      <c r="H37">
        <v>143.30000000000001</v>
      </c>
      <c r="I37">
        <v>380</v>
      </c>
      <c r="K37">
        <v>9.65</v>
      </c>
      <c r="W37" s="197" t="s">
        <v>171</v>
      </c>
      <c r="X37" s="198">
        <v>33149</v>
      </c>
      <c r="Z37" s="189" t="s">
        <v>142</v>
      </c>
    </row>
    <row r="38" spans="1:26">
      <c r="A38" s="189">
        <f t="shared" si="0"/>
        <v>172896</v>
      </c>
      <c r="B38">
        <v>6.1</v>
      </c>
      <c r="C38" s="75">
        <v>30.4</v>
      </c>
      <c r="D38">
        <v>4.2</v>
      </c>
      <c r="E38">
        <v>6.2</v>
      </c>
      <c r="F38">
        <v>11.8</v>
      </c>
      <c r="G38">
        <v>25.5</v>
      </c>
      <c r="H38">
        <v>35.1</v>
      </c>
      <c r="I38">
        <v>130</v>
      </c>
      <c r="K38">
        <v>6.41</v>
      </c>
      <c r="W38" s="197" t="s">
        <v>172</v>
      </c>
      <c r="X38" s="198">
        <v>34561</v>
      </c>
      <c r="Z38" s="189" t="s">
        <v>143</v>
      </c>
    </row>
    <row r="39" spans="1:26">
      <c r="A39" s="189">
        <f t="shared" si="0"/>
        <v>170195</v>
      </c>
      <c r="B39">
        <v>872.8</v>
      </c>
      <c r="C39" s="75">
        <v>1772.15</v>
      </c>
      <c r="D39">
        <v>70.8</v>
      </c>
      <c r="E39">
        <v>24.6</v>
      </c>
      <c r="F39">
        <v>208</v>
      </c>
      <c r="G39">
        <v>754.2</v>
      </c>
      <c r="H39">
        <v>3249</v>
      </c>
      <c r="I39">
        <v>7680</v>
      </c>
      <c r="K39">
        <v>9.08</v>
      </c>
      <c r="W39" s="197" t="s">
        <v>167</v>
      </c>
      <c r="X39" s="198">
        <v>33945</v>
      </c>
      <c r="Z39" s="189" t="s">
        <v>144</v>
      </c>
    </row>
    <row r="40" spans="1:26">
      <c r="A40" s="189" t="str">
        <f t="shared" si="0"/>
        <v>X2H044Q01</v>
      </c>
      <c r="B40">
        <v>4</v>
      </c>
      <c r="C40" s="75">
        <v>13.33</v>
      </c>
      <c r="D40">
        <v>0.5</v>
      </c>
      <c r="E40">
        <v>1.9</v>
      </c>
      <c r="F40">
        <v>6.9</v>
      </c>
      <c r="G40">
        <v>6.9</v>
      </c>
      <c r="H40">
        <v>19.100000000000001</v>
      </c>
      <c r="I40">
        <v>58</v>
      </c>
      <c r="K40">
        <v>6.2</v>
      </c>
      <c r="W40" s="197" t="s">
        <v>173</v>
      </c>
      <c r="X40" s="198">
        <v>31188</v>
      </c>
      <c r="Z40" s="189" t="s">
        <v>145</v>
      </c>
    </row>
    <row r="41" spans="1:26">
      <c r="A41" s="189">
        <f t="shared" si="0"/>
        <v>161031</v>
      </c>
      <c r="B41">
        <v>5</v>
      </c>
      <c r="C41" s="75">
        <v>20.88</v>
      </c>
      <c r="D41">
        <v>1.2</v>
      </c>
      <c r="E41">
        <v>7.5</v>
      </c>
      <c r="F41">
        <v>5.5</v>
      </c>
      <c r="G41">
        <v>4.3</v>
      </c>
      <c r="H41">
        <v>34.6</v>
      </c>
      <c r="I41">
        <v>94</v>
      </c>
      <c r="K41">
        <v>7.05</v>
      </c>
      <c r="W41" s="197" t="s">
        <v>168</v>
      </c>
      <c r="X41" s="198">
        <v>29700</v>
      </c>
      <c r="Z41" s="189">
        <v>27507</v>
      </c>
    </row>
    <row r="42" spans="1:26">
      <c r="A42" s="189">
        <f t="shared" si="0"/>
        <v>157120</v>
      </c>
      <c r="B42">
        <v>105</v>
      </c>
      <c r="C42" s="75">
        <v>163.02000000000001</v>
      </c>
      <c r="D42">
        <v>0.5</v>
      </c>
      <c r="E42">
        <v>4.8</v>
      </c>
      <c r="F42">
        <v>117.2</v>
      </c>
      <c r="G42">
        <v>83.6</v>
      </c>
      <c r="H42">
        <v>206.3</v>
      </c>
      <c r="I42">
        <v>737</v>
      </c>
      <c r="K42">
        <v>8.84</v>
      </c>
      <c r="W42" s="197" t="s">
        <v>174</v>
      </c>
      <c r="X42" s="198">
        <v>28445</v>
      </c>
      <c r="Z42" s="189" t="s">
        <v>146</v>
      </c>
    </row>
    <row r="43" spans="1:26">
      <c r="A43" s="189">
        <f t="shared" si="0"/>
        <v>170193</v>
      </c>
      <c r="B43">
        <v>1367.1</v>
      </c>
      <c r="C43" s="75">
        <v>2963.4</v>
      </c>
      <c r="D43">
        <v>126.9</v>
      </c>
      <c r="E43">
        <v>96.8</v>
      </c>
      <c r="F43">
        <v>516.6</v>
      </c>
      <c r="G43">
        <v>728</v>
      </c>
      <c r="H43">
        <v>6284</v>
      </c>
      <c r="I43">
        <v>13500</v>
      </c>
      <c r="K43">
        <v>8.57</v>
      </c>
      <c r="W43" s="197" t="s">
        <v>167</v>
      </c>
      <c r="X43" s="198">
        <v>33945</v>
      </c>
      <c r="Z43" s="189" t="s">
        <v>147</v>
      </c>
    </row>
    <row r="44" spans="1:26">
      <c r="A44" s="189" t="str">
        <f t="shared" si="0"/>
        <v>G2H003Q01</v>
      </c>
      <c r="B44">
        <v>15</v>
      </c>
      <c r="C44" s="75">
        <v>17.920000000000002</v>
      </c>
      <c r="D44">
        <v>2.4</v>
      </c>
      <c r="E44">
        <v>1.5</v>
      </c>
      <c r="F44">
        <v>2</v>
      </c>
      <c r="G44">
        <v>35.9</v>
      </c>
      <c r="H44">
        <v>6.4</v>
      </c>
      <c r="I44">
        <v>82</v>
      </c>
      <c r="K44">
        <v>5.82</v>
      </c>
      <c r="W44" s="197" t="s">
        <v>163</v>
      </c>
      <c r="X44" s="198">
        <v>32302</v>
      </c>
      <c r="Z44" s="189" t="s">
        <v>148</v>
      </c>
    </row>
    <row r="45" spans="1:26">
      <c r="A45" s="189">
        <f t="shared" si="0"/>
        <v>170194</v>
      </c>
      <c r="B45">
        <v>1726.7</v>
      </c>
      <c r="C45" s="75">
        <v>3228.46</v>
      </c>
      <c r="D45">
        <v>86.3</v>
      </c>
      <c r="E45">
        <v>29.4</v>
      </c>
      <c r="F45">
        <v>550.4</v>
      </c>
      <c r="G45">
        <v>948.8</v>
      </c>
      <c r="H45">
        <v>6711</v>
      </c>
      <c r="I45">
        <v>14788</v>
      </c>
      <c r="K45">
        <v>9.07</v>
      </c>
      <c r="W45" s="197" t="s">
        <v>167</v>
      </c>
      <c r="X45" s="198">
        <v>33945</v>
      </c>
      <c r="Z45" s="189" t="s">
        <v>133</v>
      </c>
    </row>
    <row r="46" spans="1:26">
      <c r="A46" s="189">
        <f t="shared" si="0"/>
        <v>187107</v>
      </c>
      <c r="B46">
        <v>8.5749999999999993</v>
      </c>
      <c r="C46" s="75">
        <v>63.878</v>
      </c>
      <c r="D46">
        <v>5.4450000000000003</v>
      </c>
      <c r="E46">
        <v>19.952999999999999</v>
      </c>
      <c r="F46">
        <v>5.9210000000000003</v>
      </c>
      <c r="G46">
        <v>19.366</v>
      </c>
      <c r="H46">
        <v>142.12</v>
      </c>
      <c r="I46">
        <v>297.22300000000001</v>
      </c>
      <c r="K46">
        <v>5.226</v>
      </c>
      <c r="W46" s="197" t="s">
        <v>166</v>
      </c>
      <c r="X46" s="198">
        <v>37804</v>
      </c>
      <c r="Z46" s="189" t="s">
        <v>130</v>
      </c>
    </row>
    <row r="47" spans="1:26">
      <c r="A47" s="189" t="str">
        <f t="shared" si="0"/>
        <v>V7R001Q01</v>
      </c>
      <c r="B47">
        <v>3.1</v>
      </c>
      <c r="C47" s="75">
        <v>19.98</v>
      </c>
      <c r="D47">
        <v>2.2000000000000002</v>
      </c>
      <c r="E47">
        <v>6.4</v>
      </c>
      <c r="F47">
        <v>6.6</v>
      </c>
      <c r="G47">
        <v>18</v>
      </c>
      <c r="H47">
        <v>29.2</v>
      </c>
      <c r="I47">
        <v>93</v>
      </c>
      <c r="K47">
        <v>7.1</v>
      </c>
      <c r="W47" s="197" t="s">
        <v>175</v>
      </c>
      <c r="X47" s="198">
        <v>32041</v>
      </c>
      <c r="Z47" s="189" t="s">
        <v>149</v>
      </c>
    </row>
    <row r="48" spans="1:26">
      <c r="A48" s="189">
        <f t="shared" si="0"/>
        <v>170197</v>
      </c>
      <c r="B48">
        <v>1105.4000000000001</v>
      </c>
      <c r="C48" s="75">
        <v>2165.23</v>
      </c>
      <c r="D48">
        <v>133.80000000000001</v>
      </c>
      <c r="E48">
        <v>86</v>
      </c>
      <c r="F48">
        <v>964.7</v>
      </c>
      <c r="G48">
        <v>656.7</v>
      </c>
      <c r="H48">
        <v>4064</v>
      </c>
      <c r="I48">
        <v>10124</v>
      </c>
      <c r="K48">
        <v>8.57</v>
      </c>
      <c r="W48" s="197" t="s">
        <v>167</v>
      </c>
      <c r="X48" s="198">
        <v>33945</v>
      </c>
      <c r="Z48" s="189" t="s">
        <v>150</v>
      </c>
    </row>
    <row r="49" spans="1:26">
      <c r="A49" s="189">
        <f t="shared" si="0"/>
        <v>187108</v>
      </c>
      <c r="B49">
        <v>22.303999999999998</v>
      </c>
      <c r="C49" s="75">
        <v>190.30500000000001</v>
      </c>
      <c r="D49">
        <v>11.901</v>
      </c>
      <c r="E49">
        <v>49.100999999999999</v>
      </c>
      <c r="F49">
        <v>20.968</v>
      </c>
      <c r="G49">
        <v>41.131999999999998</v>
      </c>
      <c r="H49">
        <v>438.6</v>
      </c>
      <c r="I49">
        <v>889.89400000000001</v>
      </c>
      <c r="K49">
        <v>7.6289999999999996</v>
      </c>
      <c r="W49" s="197" t="s">
        <v>166</v>
      </c>
      <c r="X49" s="198">
        <v>37825</v>
      </c>
      <c r="Z49" s="189" t="s">
        <v>140</v>
      </c>
    </row>
    <row r="50" spans="1:26">
      <c r="A50" s="189">
        <f t="shared" si="0"/>
        <v>153441</v>
      </c>
      <c r="B50">
        <v>100</v>
      </c>
      <c r="C50" s="75">
        <v>370</v>
      </c>
      <c r="D50">
        <v>94</v>
      </c>
      <c r="E50">
        <v>29</v>
      </c>
      <c r="F50">
        <v>165</v>
      </c>
      <c r="G50">
        <v>240</v>
      </c>
      <c r="H50">
        <v>365</v>
      </c>
      <c r="I50">
        <v>1732</v>
      </c>
      <c r="K50">
        <v>7.67</v>
      </c>
      <c r="W50" s="197" t="s">
        <v>176</v>
      </c>
      <c r="X50" s="198">
        <v>27947</v>
      </c>
      <c r="Z50" s="189">
        <v>25761</v>
      </c>
    </row>
    <row r="51" spans="1:26">
      <c r="A51" s="189">
        <f t="shared" si="0"/>
        <v>184642</v>
      </c>
      <c r="B51">
        <v>1</v>
      </c>
      <c r="C51" s="75">
        <v>10.231</v>
      </c>
      <c r="D51">
        <v>1.377</v>
      </c>
      <c r="E51">
        <v>4.3129999999999997</v>
      </c>
      <c r="F51">
        <v>21.780999999999999</v>
      </c>
      <c r="G51">
        <v>5</v>
      </c>
      <c r="H51">
        <v>2</v>
      </c>
      <c r="I51">
        <v>47.902999999999999</v>
      </c>
      <c r="K51">
        <v>7.5709999999999997</v>
      </c>
      <c r="W51" s="197" t="s">
        <v>170</v>
      </c>
      <c r="X51" s="198">
        <v>36963</v>
      </c>
      <c r="Z51" s="189" t="s">
        <v>151</v>
      </c>
    </row>
    <row r="52" spans="1:26">
      <c r="A52" s="189">
        <f t="shared" si="0"/>
        <v>187107</v>
      </c>
      <c r="B52">
        <v>14.093999999999999</v>
      </c>
      <c r="C52" s="75">
        <v>144.08000000000001</v>
      </c>
      <c r="D52">
        <v>10.581</v>
      </c>
      <c r="E52">
        <v>44.451999999999998</v>
      </c>
      <c r="F52">
        <v>60.776000000000003</v>
      </c>
      <c r="G52">
        <v>28.681000000000001</v>
      </c>
      <c r="H52">
        <v>307.47000000000003</v>
      </c>
      <c r="I52">
        <v>681.68100000000004</v>
      </c>
      <c r="K52">
        <v>6.4859999999999998</v>
      </c>
      <c r="W52" s="197" t="s">
        <v>166</v>
      </c>
      <c r="X52" s="198">
        <v>37790</v>
      </c>
      <c r="Z52" s="189" t="s">
        <v>130</v>
      </c>
    </row>
    <row r="53" spans="1:26">
      <c r="A53" s="189">
        <f t="shared" si="0"/>
        <v>101312</v>
      </c>
      <c r="B53">
        <v>2.8</v>
      </c>
      <c r="C53" s="75">
        <v>27.46</v>
      </c>
      <c r="D53">
        <v>5.0999999999999996</v>
      </c>
      <c r="E53">
        <v>6.6</v>
      </c>
      <c r="F53">
        <v>5.9</v>
      </c>
      <c r="G53">
        <v>24.8</v>
      </c>
      <c r="H53">
        <v>45.9</v>
      </c>
      <c r="I53">
        <v>130</v>
      </c>
      <c r="K53">
        <v>7.87</v>
      </c>
      <c r="W53" s="197" t="s">
        <v>172</v>
      </c>
      <c r="X53" s="198">
        <v>34530</v>
      </c>
      <c r="Z53" s="189" t="s">
        <v>152</v>
      </c>
    </row>
    <row r="54" spans="1:26">
      <c r="A54" s="189">
        <f t="shared" si="0"/>
        <v>177065</v>
      </c>
      <c r="B54">
        <v>1820.9</v>
      </c>
      <c r="C54" s="75">
        <v>2920.15</v>
      </c>
      <c r="D54">
        <v>65.7</v>
      </c>
      <c r="E54">
        <v>44.6</v>
      </c>
      <c r="F54">
        <v>424.3</v>
      </c>
      <c r="G54">
        <v>903.4</v>
      </c>
      <c r="H54">
        <v>6121</v>
      </c>
      <c r="I54">
        <v>13879</v>
      </c>
      <c r="K54">
        <v>8.49</v>
      </c>
      <c r="W54" s="197" t="s">
        <v>167</v>
      </c>
      <c r="X54" s="198">
        <v>35543</v>
      </c>
      <c r="Z54" s="189" t="s">
        <v>153</v>
      </c>
    </row>
    <row r="55" spans="1:26">
      <c r="A55" s="189" t="str">
        <f t="shared" si="0"/>
        <v>G1H050R01</v>
      </c>
      <c r="B55">
        <v>11.7</v>
      </c>
      <c r="C55" s="75">
        <v>22.8</v>
      </c>
      <c r="D55">
        <v>2.7</v>
      </c>
      <c r="E55">
        <v>3.4</v>
      </c>
      <c r="F55">
        <v>17.8</v>
      </c>
      <c r="G55">
        <v>22.1</v>
      </c>
      <c r="H55">
        <v>23.9</v>
      </c>
      <c r="I55">
        <v>110</v>
      </c>
      <c r="K55">
        <v>6.8</v>
      </c>
      <c r="W55" s="197" t="s">
        <v>164</v>
      </c>
      <c r="X55" s="198">
        <v>31383</v>
      </c>
      <c r="Z55" s="189" t="s">
        <v>154</v>
      </c>
    </row>
    <row r="56" spans="1:26">
      <c r="A56" s="189" t="str">
        <f t="shared" si="0"/>
        <v>V1H005Q01</v>
      </c>
      <c r="B56">
        <v>1</v>
      </c>
      <c r="C56" s="75">
        <v>7.77</v>
      </c>
      <c r="D56">
        <v>1</v>
      </c>
      <c r="E56">
        <v>2.2999999999999998</v>
      </c>
      <c r="F56">
        <v>2</v>
      </c>
      <c r="G56">
        <v>6.7</v>
      </c>
      <c r="H56">
        <v>6</v>
      </c>
      <c r="I56">
        <v>38</v>
      </c>
      <c r="K56">
        <v>4.4000000000000004</v>
      </c>
      <c r="W56" s="197" t="s">
        <v>177</v>
      </c>
      <c r="X56" s="198">
        <v>32146</v>
      </c>
      <c r="Z56" s="189" t="s">
        <v>155</v>
      </c>
    </row>
    <row r="57" spans="1:26">
      <c r="A57" s="189" t="str">
        <f t="shared" si="0"/>
        <v>H2H016Q01</v>
      </c>
      <c r="B57">
        <v>10.1</v>
      </c>
      <c r="C57" s="75">
        <v>24.26</v>
      </c>
      <c r="D57">
        <v>2.2000000000000002</v>
      </c>
      <c r="E57">
        <v>6</v>
      </c>
      <c r="F57">
        <v>4.5</v>
      </c>
      <c r="G57">
        <v>47.7</v>
      </c>
      <c r="H57">
        <v>19.2</v>
      </c>
      <c r="I57">
        <v>119</v>
      </c>
      <c r="K57">
        <v>8.16</v>
      </c>
      <c r="W57" s="197" t="s">
        <v>178</v>
      </c>
      <c r="X57" s="198">
        <v>32995</v>
      </c>
      <c r="Z57" s="189" t="s">
        <v>156</v>
      </c>
    </row>
    <row r="58" spans="1:26">
      <c r="A58" s="189">
        <f t="shared" si="0"/>
        <v>101294</v>
      </c>
      <c r="B58">
        <v>6.6</v>
      </c>
      <c r="C58" s="75">
        <v>35.44</v>
      </c>
      <c r="D58">
        <v>5.7</v>
      </c>
      <c r="E58">
        <v>10.6</v>
      </c>
      <c r="F58">
        <v>17.2</v>
      </c>
      <c r="G58">
        <v>31.1</v>
      </c>
      <c r="H58">
        <v>53.5</v>
      </c>
      <c r="I58">
        <v>176</v>
      </c>
      <c r="K58">
        <v>7.98</v>
      </c>
      <c r="W58" s="197" t="s">
        <v>179</v>
      </c>
      <c r="X58" s="198">
        <v>34518</v>
      </c>
      <c r="Z58" s="189" t="s">
        <v>157</v>
      </c>
    </row>
    <row r="59" spans="1:26">
      <c r="C59" s="75"/>
      <c r="W59" s="186" t="s">
        <v>222</v>
      </c>
    </row>
    <row r="60" spans="1:26">
      <c r="A60" s="189" t="s">
        <v>184</v>
      </c>
      <c r="B60">
        <v>611</v>
      </c>
      <c r="C60" s="75"/>
      <c r="D60">
        <v>24</v>
      </c>
      <c r="E60">
        <v>37</v>
      </c>
      <c r="F60">
        <v>1010</v>
      </c>
      <c r="G60">
        <v>82</v>
      </c>
      <c r="H60">
        <v>429</v>
      </c>
      <c r="I60">
        <v>1980</v>
      </c>
      <c r="J60">
        <v>288</v>
      </c>
      <c r="K60">
        <v>7.3</v>
      </c>
      <c r="O60">
        <v>7.9</v>
      </c>
      <c r="P60">
        <v>0.6</v>
      </c>
      <c r="W60" s="199" t="s">
        <v>188</v>
      </c>
      <c r="X60" s="200">
        <v>17017</v>
      </c>
    </row>
    <row r="61" spans="1:26">
      <c r="A61" s="189" t="s">
        <v>185</v>
      </c>
      <c r="B61">
        <v>28</v>
      </c>
      <c r="C61" s="75">
        <v>4.5999999999999996</v>
      </c>
      <c r="D61">
        <v>20</v>
      </c>
      <c r="E61">
        <v>43</v>
      </c>
      <c r="F61">
        <v>8.3000000000000007</v>
      </c>
      <c r="G61">
        <v>28</v>
      </c>
      <c r="H61">
        <v>254</v>
      </c>
      <c r="I61">
        <v>306</v>
      </c>
      <c r="J61">
        <v>46.3</v>
      </c>
      <c r="M61">
        <v>0.1</v>
      </c>
      <c r="O61">
        <v>48</v>
      </c>
      <c r="P61">
        <v>0.5</v>
      </c>
      <c r="W61" s="199" t="s">
        <v>181</v>
      </c>
      <c r="X61" s="200">
        <v>16173</v>
      </c>
    </row>
    <row r="62" spans="1:26">
      <c r="A62" s="189" t="s">
        <v>186</v>
      </c>
      <c r="B62">
        <v>2.1</v>
      </c>
      <c r="C62" s="75"/>
      <c r="D62">
        <v>3.6</v>
      </c>
      <c r="E62">
        <v>48</v>
      </c>
      <c r="F62">
        <v>3.2</v>
      </c>
      <c r="G62">
        <v>8</v>
      </c>
      <c r="H62">
        <v>152</v>
      </c>
      <c r="I62">
        <v>148</v>
      </c>
      <c r="J62">
        <v>26.9</v>
      </c>
      <c r="K62">
        <v>7.5</v>
      </c>
      <c r="O62">
        <v>8.6</v>
      </c>
      <c r="P62">
        <v>0</v>
      </c>
      <c r="W62" s="199" t="s">
        <v>182</v>
      </c>
      <c r="X62" s="200">
        <v>19081</v>
      </c>
    </row>
    <row r="63" spans="1:26">
      <c r="A63" s="189" t="s">
        <v>187</v>
      </c>
      <c r="B63">
        <v>168</v>
      </c>
      <c r="C63" s="75"/>
      <c r="D63">
        <v>18</v>
      </c>
      <c r="E63">
        <v>49</v>
      </c>
      <c r="F63">
        <v>44</v>
      </c>
      <c r="G63">
        <v>246</v>
      </c>
      <c r="H63">
        <v>202</v>
      </c>
      <c r="I63">
        <v>649</v>
      </c>
      <c r="J63">
        <v>120</v>
      </c>
      <c r="K63">
        <v>7.7</v>
      </c>
      <c r="M63">
        <v>2.2000000000000002</v>
      </c>
      <c r="O63">
        <v>22</v>
      </c>
      <c r="P63">
        <v>0.1</v>
      </c>
      <c r="W63" s="199" t="s">
        <v>183</v>
      </c>
      <c r="X63" s="200">
        <v>19127</v>
      </c>
    </row>
    <row r="64" spans="1:26">
      <c r="C64" s="75"/>
    </row>
    <row r="65" spans="1:23">
      <c r="A65" s="189" t="s">
        <v>194</v>
      </c>
      <c r="B65">
        <v>1720</v>
      </c>
      <c r="C65" s="75">
        <v>118</v>
      </c>
      <c r="D65">
        <v>114</v>
      </c>
      <c r="E65">
        <v>9.3000000000000007</v>
      </c>
      <c r="F65">
        <v>280</v>
      </c>
      <c r="G65">
        <v>2080</v>
      </c>
      <c r="H65">
        <v>1430</v>
      </c>
      <c r="I65">
        <v>5110</v>
      </c>
      <c r="J65">
        <v>842</v>
      </c>
      <c r="K65">
        <v>9.1999999999999993</v>
      </c>
      <c r="W65" s="199" t="s">
        <v>195</v>
      </c>
    </row>
    <row r="66" spans="1:23">
      <c r="A66" s="189" t="s">
        <v>201</v>
      </c>
      <c r="B66">
        <v>887</v>
      </c>
      <c r="C66" s="75">
        <v>0</v>
      </c>
      <c r="D66">
        <v>0</v>
      </c>
      <c r="E66">
        <v>8</v>
      </c>
      <c r="F66">
        <v>110</v>
      </c>
      <c r="G66">
        <v>905</v>
      </c>
      <c r="H66">
        <v>512</v>
      </c>
      <c r="I66">
        <v>2222</v>
      </c>
      <c r="J66">
        <v>330</v>
      </c>
      <c r="K66">
        <v>8.9</v>
      </c>
      <c r="M66">
        <v>0</v>
      </c>
      <c r="P66">
        <v>0.3</v>
      </c>
      <c r="W66" s="199" t="s">
        <v>202</v>
      </c>
    </row>
    <row r="67" spans="1:23">
      <c r="A67" s="189" t="s">
        <v>203</v>
      </c>
      <c r="B67">
        <v>685</v>
      </c>
      <c r="C67" s="75">
        <v>0</v>
      </c>
      <c r="D67">
        <v>0</v>
      </c>
      <c r="E67">
        <v>12</v>
      </c>
      <c r="F67">
        <v>106</v>
      </c>
      <c r="G67">
        <v>905</v>
      </c>
      <c r="H67">
        <v>445</v>
      </c>
      <c r="I67">
        <v>1760</v>
      </c>
      <c r="J67">
        <v>270</v>
      </c>
      <c r="K67">
        <v>8.6999999999999993</v>
      </c>
      <c r="M67">
        <v>0</v>
      </c>
      <c r="P67">
        <v>0.3</v>
      </c>
      <c r="W67" s="199" t="s">
        <v>202</v>
      </c>
    </row>
    <row r="68" spans="1:23">
      <c r="A68" s="189" t="s">
        <v>204</v>
      </c>
      <c r="B68">
        <v>2</v>
      </c>
      <c r="C68" s="75">
        <v>0.5</v>
      </c>
      <c r="D68">
        <v>47</v>
      </c>
      <c r="E68">
        <v>86</v>
      </c>
      <c r="F68">
        <v>10</v>
      </c>
      <c r="G68">
        <v>6</v>
      </c>
      <c r="H68">
        <v>368</v>
      </c>
      <c r="I68">
        <v>394</v>
      </c>
    </row>
    <row r="69" spans="1:23">
      <c r="C69" s="75"/>
      <c r="W69" s="199" t="s">
        <v>207</v>
      </c>
    </row>
    <row r="70" spans="1:23">
      <c r="A70" s="189" t="s">
        <v>206</v>
      </c>
      <c r="B70" s="209">
        <v>118</v>
      </c>
      <c r="C70" s="210"/>
      <c r="D70" s="209">
        <v>17.649999999999999</v>
      </c>
      <c r="E70" s="209">
        <v>72.87</v>
      </c>
      <c r="F70" s="209">
        <v>27.8</v>
      </c>
      <c r="G70" s="209">
        <v>191.6</v>
      </c>
      <c r="H70" s="211">
        <v>250</v>
      </c>
      <c r="I70" s="209">
        <v>500</v>
      </c>
      <c r="K70" s="78">
        <v>7.18</v>
      </c>
      <c r="M70">
        <v>24</v>
      </c>
    </row>
    <row r="71" spans="1:23">
      <c r="A71" s="189" t="s">
        <v>208</v>
      </c>
      <c r="B71" s="209">
        <v>23879</v>
      </c>
      <c r="C71" s="210"/>
      <c r="D71" s="209">
        <v>2536</v>
      </c>
      <c r="E71" s="209">
        <v>651</v>
      </c>
      <c r="F71" s="209">
        <v>3930</v>
      </c>
      <c r="G71" s="209">
        <v>27370</v>
      </c>
      <c r="H71" s="211">
        <v>15000</v>
      </c>
      <c r="I71" s="209">
        <v>60100</v>
      </c>
      <c r="K71" s="78">
        <v>6.78</v>
      </c>
      <c r="M71">
        <v>0</v>
      </c>
    </row>
    <row r="72" spans="1:23">
      <c r="A72" s="189" t="s">
        <v>209</v>
      </c>
      <c r="B72" s="209">
        <v>212</v>
      </c>
      <c r="C72" s="210"/>
      <c r="D72" s="209">
        <v>25.92</v>
      </c>
      <c r="E72" s="209">
        <v>86.01</v>
      </c>
      <c r="F72" s="209">
        <v>52.6</v>
      </c>
      <c r="G72" s="209">
        <v>293.8</v>
      </c>
      <c r="H72" s="212">
        <v>250</v>
      </c>
      <c r="I72" s="209">
        <v>800</v>
      </c>
      <c r="K72" s="78">
        <v>7.3</v>
      </c>
      <c r="M72">
        <v>26</v>
      </c>
    </row>
    <row r="73" spans="1:23">
      <c r="A73" s="189" t="s">
        <v>210</v>
      </c>
      <c r="B73" s="209">
        <v>156</v>
      </c>
      <c r="C73" s="210"/>
      <c r="D73" s="209">
        <v>15.42</v>
      </c>
      <c r="E73" s="209">
        <v>84.25</v>
      </c>
      <c r="F73" s="209">
        <v>23.2</v>
      </c>
      <c r="G73" s="209">
        <v>243.2</v>
      </c>
      <c r="H73" s="212">
        <v>250</v>
      </c>
      <c r="I73" s="209">
        <v>600</v>
      </c>
      <c r="K73" s="78">
        <v>7.26</v>
      </c>
      <c r="M73">
        <v>5.8</v>
      </c>
    </row>
    <row r="74" spans="1:23">
      <c r="A74" s="189" t="s">
        <v>211</v>
      </c>
      <c r="B74" s="209">
        <v>62.8</v>
      </c>
      <c r="C74" s="210"/>
      <c r="D74" s="209">
        <v>5.49</v>
      </c>
      <c r="E74" s="209">
        <v>31.7</v>
      </c>
      <c r="F74" s="209">
        <v>4.7</v>
      </c>
      <c r="G74" s="209">
        <v>93.1</v>
      </c>
      <c r="H74" s="212">
        <v>70</v>
      </c>
      <c r="I74" s="209">
        <v>200</v>
      </c>
      <c r="K74" s="78">
        <v>7.8</v>
      </c>
      <c r="M74">
        <v>0.1</v>
      </c>
    </row>
    <row r="75" spans="1:23">
      <c r="A75" s="189" t="s">
        <v>212</v>
      </c>
      <c r="B75" s="209">
        <v>5602.5</v>
      </c>
      <c r="C75" s="209"/>
      <c r="D75" s="209">
        <v>1222.5</v>
      </c>
      <c r="E75" s="209">
        <v>330</v>
      </c>
      <c r="F75" s="209">
        <v>1150</v>
      </c>
      <c r="G75" s="209">
        <v>8680</v>
      </c>
      <c r="H75" s="212">
        <v>4500</v>
      </c>
      <c r="I75" s="209">
        <v>16900</v>
      </c>
      <c r="K75" s="78">
        <v>7.0540000000000003</v>
      </c>
    </row>
    <row r="76" spans="1:23">
      <c r="A76" s="189" t="s">
        <v>216</v>
      </c>
      <c r="B76" s="209">
        <v>10870</v>
      </c>
      <c r="C76" s="209"/>
      <c r="D76" s="209">
        <v>2050</v>
      </c>
      <c r="E76" s="209">
        <v>555</v>
      </c>
      <c r="F76" s="209">
        <v>1380</v>
      </c>
      <c r="G76" s="209">
        <v>9937</v>
      </c>
      <c r="H76" s="212">
        <v>16000</v>
      </c>
      <c r="I76" s="209">
        <v>49400</v>
      </c>
      <c r="K76" s="78">
        <v>6.694</v>
      </c>
    </row>
    <row r="77" spans="1:23">
      <c r="A77" s="189" t="s">
        <v>213</v>
      </c>
      <c r="B77" s="209">
        <v>13790</v>
      </c>
      <c r="C77" s="209"/>
      <c r="D77" s="209">
        <v>3720</v>
      </c>
      <c r="E77" s="209">
        <v>1215</v>
      </c>
      <c r="F77" s="209">
        <v>1817</v>
      </c>
      <c r="G77" s="209">
        <v>10677</v>
      </c>
      <c r="H77" s="212">
        <v>30000</v>
      </c>
      <c r="I77" s="209">
        <v>32100</v>
      </c>
      <c r="K77" s="78">
        <v>6.9119999999999999</v>
      </c>
    </row>
    <row r="78" spans="1:23">
      <c r="A78" s="189" t="s">
        <v>214</v>
      </c>
      <c r="B78" s="209">
        <v>492.25</v>
      </c>
      <c r="C78" s="209"/>
      <c r="D78" s="209">
        <v>185.75</v>
      </c>
      <c r="E78" s="209">
        <v>183.25</v>
      </c>
      <c r="F78" s="209">
        <v>83.5</v>
      </c>
      <c r="G78" s="209">
        <v>648</v>
      </c>
      <c r="H78" s="212">
        <v>1200</v>
      </c>
      <c r="I78" s="209">
        <v>2200</v>
      </c>
      <c r="K78" s="78">
        <v>7.1369999999999996</v>
      </c>
    </row>
    <row r="79" spans="1:23">
      <c r="A79" s="189" t="s">
        <v>215</v>
      </c>
      <c r="B79" s="209">
        <v>442.75</v>
      </c>
      <c r="C79" s="209"/>
      <c r="D79" s="209">
        <v>81.5</v>
      </c>
      <c r="E79" s="209">
        <v>138.75</v>
      </c>
      <c r="F79" s="209">
        <v>98.75</v>
      </c>
      <c r="G79" s="209">
        <v>903.3</v>
      </c>
      <c r="H79" s="212">
        <v>250</v>
      </c>
      <c r="I79" s="209">
        <v>1600</v>
      </c>
      <c r="K79" s="78">
        <v>7.2839999999999998</v>
      </c>
    </row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5" sqref="E5"/>
    </sheetView>
  </sheetViews>
  <sheetFormatPr defaultRowHeight="12.75"/>
  <cols>
    <col min="5" max="5" width="9.5703125" customWidth="1"/>
  </cols>
  <sheetData>
    <row r="1" spans="1:5">
      <c r="A1" s="82">
        <v>0</v>
      </c>
      <c r="B1" s="82">
        <v>0</v>
      </c>
      <c r="C1" s="82">
        <f>-A1</f>
        <v>0</v>
      </c>
      <c r="D1" s="82">
        <v>-0.5</v>
      </c>
      <c r="E1" s="82">
        <f>SIN(RADIANS(60))</f>
        <v>0.8660254037844386</v>
      </c>
    </row>
    <row r="2" spans="1:5">
      <c r="A2" s="82">
        <v>0.5</v>
      </c>
      <c r="B2" s="82">
        <v>0</v>
      </c>
      <c r="C2" s="82">
        <f>-A2</f>
        <v>-0.5</v>
      </c>
      <c r="D2" s="82">
        <v>0</v>
      </c>
      <c r="E2" s="82">
        <v>0</v>
      </c>
    </row>
    <row r="3" spans="1:5">
      <c r="A3" s="82">
        <v>1</v>
      </c>
      <c r="B3" s="82">
        <v>0</v>
      </c>
      <c r="C3" s="82">
        <f>-A3</f>
        <v>-1</v>
      </c>
      <c r="D3" s="82">
        <v>0.5</v>
      </c>
      <c r="E3" s="82">
        <f>SIN(RADIANS(60))</f>
        <v>0.8660254037844386</v>
      </c>
    </row>
    <row r="4" spans="1:5">
      <c r="A4" s="82">
        <v>0.5</v>
      </c>
      <c r="B4" s="82">
        <f>SIN(RADIANS(60))</f>
        <v>0.8660254037844386</v>
      </c>
      <c r="C4" s="82">
        <f>-A4</f>
        <v>-0.5</v>
      </c>
      <c r="D4" s="82">
        <v>0</v>
      </c>
      <c r="E4" s="82">
        <f>SIN(RADIANS(60))*2</f>
        <v>1.7320508075688772</v>
      </c>
    </row>
    <row r="5" spans="1:5">
      <c r="A5" s="82">
        <v>0</v>
      </c>
      <c r="B5" s="82">
        <v>0</v>
      </c>
      <c r="C5" s="82">
        <f>-A5</f>
        <v>0</v>
      </c>
      <c r="D5" s="82">
        <v>-0.5</v>
      </c>
      <c r="E5" s="82">
        <f>SIN(RADIANS(60))</f>
        <v>0.8660254037844386</v>
      </c>
    </row>
  </sheetData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Reference</vt:lpstr>
      <vt:lpstr>Symbols</vt:lpstr>
      <vt:lpstr>Maucha filled</vt:lpstr>
      <vt:lpstr>Data</vt:lpstr>
      <vt:lpstr>Piper paper</vt:lpstr>
      <vt:lpstr>Symbols!Print_Area</vt:lpstr>
    </vt:vector>
  </TitlesOfParts>
  <Manager>Michael Silberbauer</Manager>
  <Company>Resource Quality Services, DWAF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Maucha</dc:title>
  <dc:subject>ionic diagrams</dc:subject>
  <dc:creator>Reszo Maucha</dc:creator>
  <dc:description>Converted to Excel and Quattro spreadsheets Jan-June 1999 by_x000d_
Michael Silberbauer, Institute for Water Quality Studies,_x000d_
Department of Water Affairs &amp; Forestry, Private Bag X313 PRETORIA 0001 South Africa</dc:description>
  <cp:lastModifiedBy>Mike Silberbauer</cp:lastModifiedBy>
  <cp:lastPrinted>2006-11-06T10:35:46Z</cp:lastPrinted>
  <dcterms:created xsi:type="dcterms:W3CDTF">1999-06-10T08:37:58Z</dcterms:created>
  <dcterms:modified xsi:type="dcterms:W3CDTF">2013-11-29T08:07:14Z</dcterms:modified>
</cp:coreProperties>
</file>